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FORMATO" sheetId="1" r:id="rId1"/>
    <sheet name="Bases" sheetId="2" state="hidden" r:id="rId2"/>
    <sheet name="Contraloría" sheetId="3" state="hidden" r:id="rId3"/>
  </sheets>
  <definedNames>
    <definedName name="_xlfn.IFERROR" hidden="1">#NAME?</definedName>
    <definedName name="_xlfn.IFNA" hidden="1">#NAME?</definedName>
    <definedName name="_xlfn.IFS" hidden="1">#NAME?</definedName>
    <definedName name="_xlnm.Print_Area" localSheetId="0">'FORMATO'!$A$1:$F$50</definedName>
  </definedNames>
  <calcPr fullCalcOnLoad="1"/>
</workbook>
</file>

<file path=xl/sharedStrings.xml><?xml version="1.0" encoding="utf-8"?>
<sst xmlns="http://schemas.openxmlformats.org/spreadsheetml/2006/main" count="288" uniqueCount="185">
  <si>
    <t>Municipio</t>
  </si>
  <si>
    <t>Número de concejales</t>
  </si>
  <si>
    <t>Número de sesiones realizadas</t>
  </si>
  <si>
    <t>Categoría</t>
  </si>
  <si>
    <t>Transferencia efectuada</t>
  </si>
  <si>
    <t>CÓDIGO</t>
  </si>
  <si>
    <t>VERSIÓN</t>
  </si>
  <si>
    <t>FECHA DE APROBACIÓN</t>
  </si>
  <si>
    <t>PÁGINA</t>
  </si>
  <si>
    <t>VERIFICACIÓN CUMPLIMIENTO LÍMITES DEL GASTO ADMINISTRACIONES MUNICIPALES</t>
  </si>
  <si>
    <t>Vigencia</t>
  </si>
  <si>
    <t>Republica de Colombia
Gobernación de Santander</t>
  </si>
  <si>
    <t>Ingresos Corrientes de Libre Destinación (ICLD)</t>
  </si>
  <si>
    <t>Monto máximo por Honorarios</t>
  </si>
  <si>
    <t>Honorarios por sesión</t>
  </si>
  <si>
    <t>GASTOS DE FUNCIONAMIENTO ADMINISTRACION CENTRAL</t>
  </si>
  <si>
    <t>Gastos de funcionamiento</t>
  </si>
  <si>
    <t>Indicador de GF / ICLD</t>
  </si>
  <si>
    <t>E</t>
  </si>
  <si>
    <t>SMMLV</t>
  </si>
  <si>
    <t>CATEGORIA</t>
  </si>
  <si>
    <t>Especial</t>
  </si>
  <si>
    <t>Primera</t>
  </si>
  <si>
    <t>Segunda</t>
  </si>
  <si>
    <t>Tercera</t>
  </si>
  <si>
    <t>Cuarta</t>
  </si>
  <si>
    <t>Quinta</t>
  </si>
  <si>
    <t>Sexta</t>
  </si>
  <si>
    <t>IPC</t>
  </si>
  <si>
    <t>SESIONES CONCEJO REALIZADAS</t>
  </si>
  <si>
    <t>APORTES MAXIMOS PERSONERÍA</t>
  </si>
  <si>
    <t>Art. 10 Ley 617 de 2000, Art. 66 Ley 136 de 1994 (Ley 1368 de 2009)</t>
  </si>
  <si>
    <t>% GF/ICLD</t>
  </si>
  <si>
    <t>ESTADO</t>
  </si>
  <si>
    <t>Secretaría de Planeación Departamental</t>
  </si>
  <si>
    <t>Nombre:</t>
  </si>
  <si>
    <t>Cargo:</t>
  </si>
  <si>
    <t>FIRMA</t>
  </si>
  <si>
    <t>Fecha:</t>
  </si>
  <si>
    <t>1 de 1</t>
  </si>
  <si>
    <t>BUCARAMANGA</t>
  </si>
  <si>
    <t>AGUADA</t>
  </si>
  <si>
    <t>ALBANIA</t>
  </si>
  <si>
    <t>ARATOCA</t>
  </si>
  <si>
    <t>BARBOSA</t>
  </si>
  <si>
    <t>BARICHARA</t>
  </si>
  <si>
    <t>BARRANCABERMEJA</t>
  </si>
  <si>
    <t>BETULIA</t>
  </si>
  <si>
    <t>BOLIVAR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</si>
  <si>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</si>
  <si>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</si>
  <si>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</si>
  <si>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</si>
  <si>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</si>
  <si>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</si>
  <si>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</si>
  <si>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</si>
  <si>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CHIMA</t>
  </si>
  <si>
    <t>CHIPATA</t>
  </si>
  <si>
    <t>CIMITARRA</t>
  </si>
  <si>
    <t>CONCEPCION</t>
  </si>
  <si>
    <t>CONFINES</t>
  </si>
  <si>
    <t>CONTRATACION</t>
  </si>
  <si>
    <t>COROMORO</t>
  </si>
  <si>
    <t>CURITI</t>
  </si>
  <si>
    <t>EL CARMEN</t>
  </si>
  <si>
    <t>EL GUACAMAYO</t>
  </si>
  <si>
    <t>EL PEÑON</t>
  </si>
  <si>
    <t>EL PLAYON</t>
  </si>
  <si>
    <t>ENCINO</t>
  </si>
  <si>
    <t>ENCISO</t>
  </si>
  <si>
    <t>FLORIAN</t>
  </si>
  <si>
    <t>FLORIDABLANCA</t>
  </si>
  <si>
    <t>GALAN</t>
  </si>
  <si>
    <t>GAMBITA</t>
  </si>
  <si>
    <t>GUACA</t>
  </si>
  <si>
    <t>GUADALUPE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</si>
  <si>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</si>
  <si>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</si>
  <si>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</si>
  <si>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</si>
  <si>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</si>
  <si>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</si>
  <si>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</si>
  <si>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</si>
  <si>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LA PAZ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</si>
  <si>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</si>
  <si>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</si>
  <si>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</si>
  <si>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</si>
  <si>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</si>
  <si>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</si>
  <si>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</si>
  <si>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</si>
  <si>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</si>
  <si>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</si>
  <si>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</si>
  <si>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</si>
  <si>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</si>
  <si>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</si>
  <si>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</si>
  <si>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</si>
  <si>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</si>
  <si>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</si>
  <si>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RIONEGRO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</si>
  <si>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</si>
  <si>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</si>
  <si>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</si>
  <si>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</si>
  <si>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</si>
  <si>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</si>
  <si>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</si>
  <si>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</si>
  <si>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BARBARA</t>
  </si>
  <si>
    <t>SIMACOTA</t>
  </si>
  <si>
    <t>SOCORRO</t>
  </si>
  <si>
    <t>SUAITA</t>
  </si>
  <si>
    <t>SUCRE</t>
  </si>
  <si>
    <t>SURATA</t>
  </si>
  <si>
    <t>TONA</t>
  </si>
  <si>
    <t>VALLE SAN JOSE</t>
  </si>
  <si>
    <t>VELEZ</t>
  </si>
  <si>
    <t>VETAS</t>
  </si>
  <si>
    <t>VILLANUEVA</t>
  </si>
  <si>
    <t>ZAPATOCA</t>
  </si>
  <si>
    <t>Aporte Máximo (1,5% de los ICLD ó 60 SMMLV)</t>
  </si>
  <si>
    <t>Límite Gastos de Concejo</t>
  </si>
  <si>
    <t>Límite Gastos de Personería</t>
  </si>
  <si>
    <t>Límite Gastos de Contraloría</t>
  </si>
  <si>
    <t>Art. 2 Ley 1416 de 2010</t>
  </si>
  <si>
    <t>IPC utilizado por la entidad territorial</t>
  </si>
  <si>
    <t>Aporte Máximo (ICLD ó SMMLV)</t>
  </si>
  <si>
    <t>ES-PE-RG-47</t>
  </si>
  <si>
    <t>Funcionario que remite (Municipio)</t>
  </si>
  <si>
    <t>Responsable de la verificación  (Departamento)</t>
  </si>
  <si>
    <t>Provincia</t>
  </si>
  <si>
    <t>Art. 10 Ley 617 de 2000</t>
  </si>
  <si>
    <t>Metropolitana</t>
  </si>
  <si>
    <t>García Rovira</t>
  </si>
  <si>
    <t>Vélez</t>
  </si>
  <si>
    <t>Guanentá</t>
  </si>
  <si>
    <t>Yariguíes</t>
  </si>
  <si>
    <t>Comunera</t>
  </si>
  <si>
    <t>Soto Norte</t>
  </si>
  <si>
    <t>SANTA HELENA DEL OPÓN</t>
  </si>
  <si>
    <t>Barrancabermeja</t>
  </si>
  <si>
    <t>Bucaramanga</t>
  </si>
  <si>
    <t>HONORARIOS POR SESION (ley 2075 de 2021)</t>
  </si>
  <si>
    <t>HONORARIOS POR SESION
(ley 1368 de 2009)</t>
  </si>
  <si>
    <t>(+)ipc 2020</t>
  </si>
  <si>
    <t>HONORARIOS 2021</t>
  </si>
  <si>
    <t>(+)ipc 2021</t>
  </si>
  <si>
    <t>HONORARIOS 2022</t>
  </si>
  <si>
    <t>LEY 1368 DE 2009</t>
  </si>
  <si>
    <t>LEY 2075 DE 2021</t>
  </si>
  <si>
    <t>Valor ley</t>
  </si>
  <si>
    <t>ENERO 1 A MARZO 3</t>
  </si>
  <si>
    <t>Año</t>
  </si>
  <si>
    <t>ICLD 617 / INDEXADOS</t>
  </si>
  <si>
    <t>Máximo ICLD (Indexados IPC)</t>
  </si>
  <si>
    <t>*No diligenciar si no aplica para la entidad territorial</t>
  </si>
  <si>
    <t>Girón</t>
  </si>
  <si>
    <t>Floridablanca</t>
  </si>
  <si>
    <t>Límite</t>
  </si>
  <si>
    <t>6,469,418,701.00</t>
  </si>
  <si>
    <t>6,461,661,381.00</t>
  </si>
  <si>
    <t>compromisos</t>
  </si>
  <si>
    <t>presupuesto definitivo</t>
  </si>
  <si>
    <t>Proyectado</t>
  </si>
  <si>
    <t>Causado</t>
  </si>
  <si>
    <t>limite informes</t>
  </si>
  <si>
    <t>informe 2022</t>
  </si>
  <si>
    <t>informe 2021</t>
  </si>
  <si>
    <t>informe 2020</t>
  </si>
  <si>
    <t>informe 2019</t>
  </si>
  <si>
    <t>base de datos 2023</t>
  </si>
  <si>
    <t>bucara 2020</t>
  </si>
  <si>
    <t>Límite Gastos de Contraloría (Ley 1416 de 2010)</t>
  </si>
  <si>
    <t>1,479,044,434</t>
  </si>
  <si>
    <t>GIRÓN</t>
  </si>
  <si>
    <t>EVALUACIÓN TRANSFERENCIAS A CONTRALORIAS*</t>
  </si>
  <si>
    <t>EVALUACIÓN TRANSFERENCIAS A PERSONERIAS</t>
  </si>
  <si>
    <t>EVALUACIÓN DE TRANSFERENCIAS A CONCEJOS</t>
  </si>
  <si>
    <t>Presupuesto Definitivo /Compromisos (Vigencia anterior)</t>
  </si>
  <si>
    <t>Presupuesto Definitivo (Vigencia anterior)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</si>
</sst>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_ ;_ * \-#,##0_ ;_ * &quot;-&quot;??_ ;_ @_ "/>
    <numFmt numFmtId="185" formatCode="_ * #,##0.0_ ;_ * \-#,##0.0_ ;_ * &quot;-&quot;??_ ;_ @_ "/>
    <numFmt numFmtId="186" formatCode="_-* #,##0.0_-;\-* #,##0.0_-;_-* &quot;-&quot;?_-;_-@_-"/>
    <numFmt numFmtId="187" formatCode="_(* #,##0_);_(* \(#,##0\);_(* &quot;-&quot;??_);_(@_)"/>
    <numFmt numFmtId="188" formatCode="_-* #,##0\ _€_-;\-* #,##0\ _€_-;_-* &quot;-&quot;??\ _€_-;_-@_-"/>
    <numFmt numFmtId="189" formatCode="_-* #,##0.0\ _€_-;\-* #,##0.0\ _€_-;_-* &quot;-&quot;??\ _€_-;_-@_-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&quot;$&quot;* #,##0_);_(&quot;$&quot;* \(#,##0\);_(&quot;$&quot;* &quot;-&quot;??_);_(@_)"/>
    <numFmt numFmtId="196" formatCode="[$-240A]dddd\,\ d\ &quot;de&quot;\ mmmm\ &quot;de&quot;\ yyyy"/>
    <numFmt numFmtId="197" formatCode="[$-240A]h:mm:ss\ AM/PM"/>
    <numFmt numFmtId="198" formatCode="&quot;$&quot;\ #,##0.00"/>
    <numFmt numFmtId="199" formatCode="#,##0.0"/>
    <numFmt numFmtId="200" formatCode="_(* #,##0.0_);_(* \(#,##0.0\);_(* &quot;-&quot;??_);_(@_)"/>
    <numFmt numFmtId="201" formatCode="_ * #,##0.00_ ;_ * \-#,##0.00_ ;_ * &quot;-&quot;??_ ;_ @_ "/>
    <numFmt numFmtId="202" formatCode="_ * #,##0.000_ ;_ * \-#,##0.000_ ;_ * &quot;-&quot;??_ ;_ @_ "/>
    <numFmt numFmtId="203" formatCode="_-* #,##0.000_-;\-* #,##0.000_-;_-* &quot;-&quot;???_-;_-@_-"/>
    <numFmt numFmtId="204" formatCode="0.0%"/>
    <numFmt numFmtId="205" formatCode="[$-240A]dddd\,\ dd&quot; de &quot;mmmm&quot; de &quot;yyyy"/>
    <numFmt numFmtId="206" formatCode="[$-240A]hh:mm:ss\ AM/PM"/>
    <numFmt numFmtId="207" formatCode="0.0"/>
    <numFmt numFmtId="208" formatCode="_-* #,##0_-;\-* #,##0_-;_-* &quot;-&quot;??_-;_-@_-"/>
    <numFmt numFmtId="209" formatCode="_-* #,##0.0000000_-;\-* #,##0.0000000_-;_-* &quot;-&quot;??_-;_-@_-"/>
  </numFmts>
  <fonts count="52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theme="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ABABAB"/>
      </left>
      <right style="medium">
        <color rgb="FFCCCCCC"/>
      </right>
      <top style="medium">
        <color rgb="FFABABAB"/>
      </top>
      <bottom style="medium">
        <color rgb="FFABABAB"/>
      </bottom>
    </border>
    <border>
      <left style="medium">
        <color rgb="FFCCCCCC"/>
      </left>
      <right style="medium">
        <color rgb="FFABABAB"/>
      </right>
      <top style="medium">
        <color rgb="FFABABAB"/>
      </top>
      <bottom style="medium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10" xfId="0" applyFont="1" applyBorder="1" applyAlignment="1">
      <alignment vertical="center" wrapText="1"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Border="1" applyProtection="1">
      <alignment/>
      <protection hidden="1"/>
    </xf>
    <xf numFmtId="3" fontId="3" fillId="0" borderId="0" xfId="56" applyNumberFormat="1" applyFont="1" applyBorder="1" applyProtection="1">
      <alignment/>
      <protection hidden="1"/>
    </xf>
    <xf numFmtId="0" fontId="2" fillId="0" borderId="0" xfId="56" applyFont="1" applyProtection="1">
      <alignment/>
      <protection hidden="1"/>
    </xf>
    <xf numFmtId="0" fontId="0" fillId="8" borderId="10" xfId="56" applyFill="1" applyBorder="1" applyAlignment="1">
      <alignment horizontal="center" vertical="center"/>
      <protection/>
    </xf>
    <xf numFmtId="0" fontId="0" fillId="0" borderId="10" xfId="56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8" borderId="10" xfId="56" applyFill="1" applyBorder="1" applyAlignment="1">
      <alignment horizontal="center" vertical="center" wrapText="1"/>
      <protection/>
    </xf>
    <xf numFmtId="9" fontId="0" fillId="0" borderId="10" xfId="56" applyNumberFormat="1" applyBorder="1" applyAlignment="1">
      <alignment horizontal="center" vertical="center"/>
      <protection/>
    </xf>
    <xf numFmtId="183" fontId="0" fillId="0" borderId="10" xfId="53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187" fontId="0" fillId="0" borderId="10" xfId="47" applyNumberFormat="1" applyFont="1" applyBorder="1" applyAlignment="1">
      <alignment/>
    </xf>
    <xf numFmtId="0" fontId="2" fillId="0" borderId="11" xfId="56" applyFont="1" applyBorder="1" applyProtection="1">
      <alignment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1" xfId="56" applyFont="1" applyBorder="1" applyAlignment="1" applyProtection="1">
      <alignment horizontal="left"/>
      <protection locked="0"/>
    </xf>
    <xf numFmtId="0" fontId="2" fillId="0" borderId="11" xfId="56" applyFont="1" applyBorder="1" applyAlignment="1" applyProtection="1">
      <alignment horizontal="left"/>
      <protection/>
    </xf>
    <xf numFmtId="43" fontId="0" fillId="0" borderId="0" xfId="47" applyFont="1" applyAlignment="1">
      <alignment/>
    </xf>
    <xf numFmtId="187" fontId="0" fillId="0" borderId="0" xfId="47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33" borderId="0" xfId="47" applyFont="1" applyFill="1" applyAlignment="1">
      <alignment/>
    </xf>
    <xf numFmtId="0" fontId="0" fillId="33" borderId="0" xfId="0" applyFill="1" applyAlignment="1">
      <alignment/>
    </xf>
    <xf numFmtId="43" fontId="0" fillId="0" borderId="0" xfId="47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56" applyFont="1" applyBorder="1" applyAlignment="1" applyProtection="1">
      <alignment horizontal="left"/>
      <protection/>
    </xf>
    <xf numFmtId="0" fontId="48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 wrapText="1"/>
    </xf>
    <xf numFmtId="0" fontId="0" fillId="13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/>
    </xf>
    <xf numFmtId="208" fontId="0" fillId="0" borderId="0" xfId="47" applyNumberFormat="1" applyFont="1" applyAlignment="1">
      <alignment/>
    </xf>
    <xf numFmtId="187" fontId="0" fillId="34" borderId="0" xfId="47" applyNumberFormat="1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6" borderId="13" xfId="0" applyFont="1" applyFill="1" applyBorder="1" applyAlignment="1">
      <alignment horizontal="left" vertical="center" wrapText="1"/>
    </xf>
    <xf numFmtId="43" fontId="0" fillId="0" borderId="0" xfId="47" applyNumberFormat="1" applyFont="1" applyFill="1" applyAlignment="1">
      <alignment/>
    </xf>
    <xf numFmtId="43" fontId="0" fillId="0" borderId="0" xfId="47" applyNumberFormat="1" applyFont="1" applyFill="1" applyBorder="1" applyAlignment="1" applyProtection="1">
      <alignment horizontal="right"/>
      <protection hidden="1"/>
    </xf>
    <xf numFmtId="43" fontId="0" fillId="0" borderId="0" xfId="47" applyNumberFormat="1" applyFont="1" applyAlignment="1">
      <alignment/>
    </xf>
    <xf numFmtId="187" fontId="50" fillId="34" borderId="0" xfId="47" applyNumberFormat="1" applyFont="1" applyFill="1" applyAlignment="1">
      <alignment/>
    </xf>
    <xf numFmtId="0" fontId="0" fillId="0" borderId="14" xfId="0" applyNumberFormat="1" applyBorder="1" applyAlignment="1">
      <alignment horizontal="right" vertical="center" wrapText="1"/>
    </xf>
    <xf numFmtId="0" fontId="49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13" borderId="0" xfId="0" applyFont="1" applyFill="1" applyBorder="1" applyAlignment="1">
      <alignment horizontal="center"/>
    </xf>
    <xf numFmtId="10" fontId="0" fillId="37" borderId="0" xfId="0" applyNumberFormat="1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56" applyProtection="1">
      <alignment/>
      <protection locked="0"/>
    </xf>
    <xf numFmtId="0" fontId="51" fillId="0" borderId="11" xfId="56" applyFont="1" applyBorder="1" applyAlignment="1" applyProtection="1">
      <alignment horizontal="center" vertical="center"/>
      <protection locked="0"/>
    </xf>
    <xf numFmtId="183" fontId="2" fillId="0" borderId="15" xfId="53" applyFont="1" applyBorder="1" applyAlignment="1" applyProtection="1">
      <alignment horizontal="center"/>
      <protection locked="0"/>
    </xf>
    <xf numFmtId="183" fontId="2" fillId="0" borderId="16" xfId="53" applyFont="1" applyBorder="1" applyAlignment="1" applyProtection="1">
      <alignment horizontal="center"/>
      <protection locked="0"/>
    </xf>
    <xf numFmtId="3" fontId="2" fillId="12" borderId="10" xfId="56" applyNumberFormat="1" applyFont="1" applyFill="1" applyBorder="1" applyAlignment="1" applyProtection="1">
      <alignment horizontal="center"/>
      <protection/>
    </xf>
    <xf numFmtId="9" fontId="2" fillId="38" borderId="10" xfId="60" applyFont="1" applyFill="1" applyBorder="1" applyAlignment="1" applyProtection="1">
      <alignment horizontal="center"/>
      <protection locked="0"/>
    </xf>
    <xf numFmtId="183" fontId="2" fillId="2" borderId="10" xfId="53" applyFont="1" applyFill="1" applyBorder="1" applyAlignment="1" applyProtection="1">
      <alignment horizontal="right"/>
      <protection/>
    </xf>
    <xf numFmtId="0" fontId="2" fillId="2" borderId="15" xfId="56" applyFont="1" applyFill="1" applyBorder="1" applyAlignment="1" applyProtection="1">
      <alignment horizontal="left"/>
      <protection hidden="1"/>
    </xf>
    <xf numFmtId="0" fontId="2" fillId="2" borderId="17" xfId="56" applyFont="1" applyFill="1" applyBorder="1" applyAlignment="1" applyProtection="1">
      <alignment horizontal="left"/>
      <protection hidden="1"/>
    </xf>
    <xf numFmtId="0" fontId="2" fillId="2" borderId="16" xfId="56" applyFont="1" applyFill="1" applyBorder="1" applyAlignment="1" applyProtection="1">
      <alignment horizontal="left"/>
      <protection hidden="1"/>
    </xf>
    <xf numFmtId="9" fontId="2" fillId="2" borderId="15" xfId="56" applyNumberFormat="1" applyFont="1" applyFill="1" applyBorder="1" applyAlignment="1" applyProtection="1">
      <alignment horizontal="center"/>
      <protection/>
    </xf>
    <xf numFmtId="0" fontId="2" fillId="2" borderId="16" xfId="56" applyFont="1" applyFill="1" applyBorder="1" applyAlignment="1" applyProtection="1">
      <alignment horizontal="center"/>
      <protection/>
    </xf>
    <xf numFmtId="0" fontId="2" fillId="0" borderId="11" xfId="56" applyFont="1" applyBorder="1" applyAlignment="1" applyProtection="1">
      <alignment horizontal="right"/>
      <protection locked="0"/>
    </xf>
    <xf numFmtId="187" fontId="2" fillId="0" borderId="17" xfId="47" applyNumberFormat="1" applyFont="1" applyBorder="1" applyAlignment="1" applyProtection="1">
      <alignment horizontal="right"/>
      <protection/>
    </xf>
    <xf numFmtId="10" fontId="2" fillId="0" borderId="11" xfId="60" applyNumberFormat="1" applyFont="1" applyBorder="1" applyAlignment="1" applyProtection="1">
      <alignment horizontal="right"/>
      <protection/>
    </xf>
    <xf numFmtId="0" fontId="2" fillId="38" borderId="10" xfId="56" applyFont="1" applyFill="1" applyBorder="1" applyAlignment="1" applyProtection="1">
      <alignment horizontal="left"/>
      <protection hidden="1"/>
    </xf>
    <xf numFmtId="184" fontId="3" fillId="12" borderId="10" xfId="56" applyNumberFormat="1" applyFont="1" applyFill="1" applyBorder="1" applyAlignment="1" applyProtection="1">
      <alignment horizontal="center"/>
      <protection hidden="1"/>
    </xf>
    <xf numFmtId="0" fontId="2" fillId="2" borderId="10" xfId="56" applyFont="1" applyFill="1" applyBorder="1" applyAlignment="1" applyProtection="1">
      <alignment horizontal="left"/>
      <protection hidden="1"/>
    </xf>
    <xf numFmtId="0" fontId="2" fillId="38" borderId="10" xfId="56" applyFont="1" applyFill="1" applyBorder="1" applyAlignment="1" applyProtection="1">
      <alignment horizontal="left"/>
      <protection/>
    </xf>
    <xf numFmtId="0" fontId="2" fillId="12" borderId="10" xfId="56" applyFont="1" applyFill="1" applyBorder="1" applyAlignment="1" applyProtection="1">
      <alignment horizontal="center"/>
      <protection hidden="1"/>
    </xf>
    <xf numFmtId="43" fontId="2" fillId="38" borderId="10" xfId="47" applyFont="1" applyFill="1" applyBorder="1" applyAlignment="1" applyProtection="1">
      <alignment horizontal="center"/>
      <protection locked="0"/>
    </xf>
    <xf numFmtId="183" fontId="2" fillId="2" borderId="10" xfId="53" applyFont="1" applyFill="1" applyBorder="1" applyAlignment="1" applyProtection="1">
      <alignment horizontal="center"/>
      <protection/>
    </xf>
    <xf numFmtId="183" fontId="2" fillId="38" borderId="10" xfId="53" applyFont="1" applyFill="1" applyBorder="1" applyAlignment="1" applyProtection="1">
      <alignment horizontal="center"/>
      <protection locked="0"/>
    </xf>
    <xf numFmtId="183" fontId="2" fillId="0" borderId="15" xfId="53" applyFont="1" applyFill="1" applyBorder="1" applyAlignment="1" applyProtection="1">
      <alignment horizontal="center"/>
      <protection locked="0"/>
    </xf>
    <xf numFmtId="183" fontId="2" fillId="0" borderId="16" xfId="53" applyFont="1" applyFill="1" applyBorder="1" applyAlignment="1" applyProtection="1">
      <alignment horizontal="center"/>
      <protection locked="0"/>
    </xf>
    <xf numFmtId="184" fontId="2" fillId="0" borderId="15" xfId="52" applyNumberFormat="1" applyFont="1" applyFill="1" applyBorder="1" applyAlignment="1" applyProtection="1">
      <alignment horizontal="center" vertical="center"/>
      <protection locked="0"/>
    </xf>
    <xf numFmtId="184" fontId="2" fillId="0" borderId="16" xfId="52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4" fontId="8" fillId="6" borderId="21" xfId="56" applyNumberFormat="1" applyFont="1" applyFill="1" applyBorder="1" applyAlignment="1" applyProtection="1">
      <alignment horizontal="center"/>
      <protection hidden="1"/>
    </xf>
    <xf numFmtId="184" fontId="8" fillId="6" borderId="11" xfId="56" applyNumberFormat="1" applyFont="1" applyFill="1" applyBorder="1" applyAlignment="1" applyProtection="1">
      <alignment horizontal="center"/>
      <protection hidden="1"/>
    </xf>
    <xf numFmtId="184" fontId="8" fillId="6" borderId="22" xfId="56" applyNumberFormat="1" applyFont="1" applyFill="1" applyBorder="1" applyAlignment="1" applyProtection="1">
      <alignment horizontal="center"/>
      <protection hidden="1"/>
    </xf>
    <xf numFmtId="0" fontId="2" fillId="2" borderId="10" xfId="56" applyFont="1" applyFill="1" applyBorder="1" applyAlignment="1" applyProtection="1" quotePrefix="1">
      <alignment horizontal="left"/>
      <protection hidden="1"/>
    </xf>
    <xf numFmtId="0" fontId="1" fillId="0" borderId="10" xfId="56" applyFont="1" applyBorder="1" applyAlignment="1">
      <alignment horizontal="center" vertical="center" wrapText="1"/>
      <protection/>
    </xf>
    <xf numFmtId="9" fontId="8" fillId="6" borderId="10" xfId="56" applyNumberFormat="1" applyFont="1" applyFill="1" applyBorder="1" applyAlignment="1" applyProtection="1">
      <alignment horizontal="center"/>
      <protection/>
    </xf>
    <xf numFmtId="0" fontId="2" fillId="38" borderId="15" xfId="56" applyFont="1" applyFill="1" applyBorder="1" applyAlignment="1" applyProtection="1">
      <alignment horizontal="left"/>
      <protection hidden="1"/>
    </xf>
    <xf numFmtId="0" fontId="2" fillId="38" borderId="17" xfId="56" applyFont="1" applyFill="1" applyBorder="1" applyAlignment="1" applyProtection="1">
      <alignment horizontal="left"/>
      <protection hidden="1"/>
    </xf>
    <xf numFmtId="0" fontId="2" fillId="38" borderId="16" xfId="56" applyFont="1" applyFill="1" applyBorder="1" applyAlignment="1" applyProtection="1">
      <alignment horizontal="left"/>
      <protection hidden="1"/>
    </xf>
    <xf numFmtId="201" fontId="2" fillId="2" borderId="10" xfId="52" applyNumberFormat="1" applyFont="1" applyFill="1" applyBorder="1" applyAlignment="1" applyProtection="1">
      <alignment horizontal="center"/>
      <protection/>
    </xf>
    <xf numFmtId="183" fontId="2" fillId="2" borderId="10" xfId="53" applyFont="1" applyFill="1" applyBorder="1" applyAlignment="1" applyProtection="1">
      <alignment horizontal="right" vertical="center" wrapText="1"/>
      <protection/>
    </xf>
    <xf numFmtId="184" fontId="3" fillId="18" borderId="10" xfId="56" applyNumberFormat="1" applyFont="1" applyFill="1" applyBorder="1" applyAlignment="1" applyProtection="1">
      <alignment horizontal="center"/>
      <protection hidden="1"/>
    </xf>
    <xf numFmtId="187" fontId="48" fillId="0" borderId="17" xfId="47" applyNumberFormat="1" applyFont="1" applyBorder="1" applyAlignment="1" applyProtection="1">
      <alignment horizontal="center"/>
      <protection/>
    </xf>
    <xf numFmtId="0" fontId="0" fillId="0" borderId="0" xfId="56" applyAlignment="1" applyProtection="1">
      <alignment horizontal="left"/>
      <protection locked="0"/>
    </xf>
    <xf numFmtId="0" fontId="2" fillId="0" borderId="10" xfId="56" applyFont="1" applyFill="1" applyBorder="1" applyAlignment="1" applyProtection="1">
      <alignment horizontal="left"/>
      <protection hidden="1"/>
    </xf>
    <xf numFmtId="0" fontId="2" fillId="2" borderId="10" xfId="56" applyFont="1" applyFill="1" applyBorder="1" applyAlignment="1" applyProtection="1">
      <alignment horizontal="left" wrapText="1"/>
      <protection hidden="1"/>
    </xf>
    <xf numFmtId="184" fontId="2" fillId="2" borderId="10" xfId="52" applyNumberFormat="1" applyFont="1" applyFill="1" applyBorder="1" applyAlignment="1" applyProtection="1">
      <alignment horizontal="right" vertical="center"/>
      <protection/>
    </xf>
    <xf numFmtId="0" fontId="0" fillId="8" borderId="10" xfId="56" applyFill="1" applyBorder="1" applyAlignment="1">
      <alignment horizontal="center" vertical="center"/>
      <protection/>
    </xf>
    <xf numFmtId="0" fontId="8" fillId="11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23" xfId="56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Millares 5" xfId="50"/>
    <cellStyle name="Millares 6" xfId="51"/>
    <cellStyle name="Millares_GINEBRA Analisis Financiero Viabilidad Fiscal VIG-05 FINAL" xfId="52"/>
    <cellStyle name="Currency" xfId="53"/>
    <cellStyle name="Currency [0]" xfId="54"/>
    <cellStyle name="Neutral" xfId="55"/>
    <cellStyle name="Normal 3" xfId="56"/>
    <cellStyle name="Normal 4" xfId="57"/>
    <cellStyle name="Normal 9" xfId="58"/>
    <cellStyle name="Notas" xfId="59"/>
    <cellStyle name="Percent" xfId="60"/>
    <cellStyle name="Porcentual 3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9525</xdr:rowOff>
    </xdr:from>
    <xdr:to>
      <xdr:col>0</xdr:col>
      <xdr:colOff>914400</xdr:colOff>
      <xdr:row>3</xdr:row>
      <xdr:rowOff>19050</xdr:rowOff>
    </xdr:to>
    <xdr:pic>
      <xdr:nvPicPr>
        <xdr:cNvPr id="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450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zoomScale="160" zoomScaleNormal="160" zoomScaleSheetLayoutView="145" zoomScalePageLayoutView="123" workbookViewId="0" topLeftCell="A1">
      <selection activeCell="E3" sqref="E3"/>
    </sheetView>
  </sheetViews>
  <sheetFormatPr defaultColWidth="11.421875" defaultRowHeight="12.75"/>
  <cols>
    <col min="1" max="1" width="20.421875" style="1" customWidth="1"/>
    <col min="2" max="2" width="24.00390625" style="1" customWidth="1"/>
    <col min="3" max="3" width="20.7109375" style="1" customWidth="1"/>
    <col min="4" max="5" width="11.421875" style="1" customWidth="1"/>
    <col min="6" max="6" width="1.28515625" style="1" customWidth="1"/>
    <col min="7" max="16384" width="11.421875" style="1" customWidth="1"/>
  </cols>
  <sheetData>
    <row r="1" spans="1:5" ht="12.75">
      <c r="A1" s="95" t="s">
        <v>11</v>
      </c>
      <c r="B1" s="102" t="s">
        <v>9</v>
      </c>
      <c r="C1" s="102"/>
      <c r="D1" s="2" t="s">
        <v>5</v>
      </c>
      <c r="E1" s="19" t="s">
        <v>132</v>
      </c>
    </row>
    <row r="2" spans="1:5" ht="12.75">
      <c r="A2" s="96"/>
      <c r="B2" s="102"/>
      <c r="C2" s="102"/>
      <c r="D2" s="2" t="s">
        <v>6</v>
      </c>
      <c r="E2" s="20">
        <v>1</v>
      </c>
    </row>
    <row r="3" spans="1:5" ht="16.5">
      <c r="A3" s="96"/>
      <c r="B3" s="102"/>
      <c r="C3" s="102"/>
      <c r="D3" s="2" t="s">
        <v>7</v>
      </c>
      <c r="E3" s="21">
        <v>45391</v>
      </c>
    </row>
    <row r="4" spans="1:5" ht="12.75">
      <c r="A4" s="97"/>
      <c r="B4" s="102"/>
      <c r="C4" s="102"/>
      <c r="D4" s="2" t="s">
        <v>8</v>
      </c>
      <c r="E4" s="20" t="s">
        <v>39</v>
      </c>
    </row>
    <row r="6" spans="1:5" ht="14.25">
      <c r="A6" s="3" t="s">
        <v>0</v>
      </c>
      <c r="B6" s="18"/>
      <c r="C6" s="4" t="s">
        <v>10</v>
      </c>
      <c r="D6" s="80"/>
      <c r="E6" s="80"/>
    </row>
    <row r="7" spans="1:5" ht="14.25">
      <c r="A7" s="3" t="s">
        <v>135</v>
      </c>
      <c r="B7" s="25">
        <f>+_xlfn.IFERROR(VLOOKUP(B6,Bases!C11:D97,2,FALSE),"")</f>
      </c>
      <c r="C7" s="4" t="s">
        <v>19</v>
      </c>
      <c r="D7" s="81">
        <f>+_xlfn.IFNA(VLOOKUP(D6,Bases!G12:Q38,11,FALSE),"")</f>
      </c>
      <c r="E7" s="81"/>
    </row>
    <row r="8" spans="1:5" ht="14.25">
      <c r="A8" s="3" t="s">
        <v>3</v>
      </c>
      <c r="B8" s="24"/>
      <c r="C8" s="4" t="s">
        <v>28</v>
      </c>
      <c r="D8" s="82">
        <f>+_xlfn.IFERROR(VLOOKUP(D6,Bases!G34:H38,2,FALSE),"")</f>
      </c>
      <c r="E8" s="82"/>
    </row>
    <row r="9" spans="1:5" ht="14.25">
      <c r="A9" s="3"/>
      <c r="B9" s="36"/>
      <c r="C9" s="37" t="s">
        <v>159</v>
      </c>
      <c r="D9" s="110" t="e">
        <f>+VLOOKUP(D6,Bases!G12:Q38,11,FALSE)</f>
        <v>#N/A</v>
      </c>
      <c r="E9" s="110"/>
    </row>
    <row r="10" spans="1:5" ht="15">
      <c r="A10" s="84" t="s">
        <v>15</v>
      </c>
      <c r="B10" s="84"/>
      <c r="C10" s="84"/>
      <c r="D10" s="84"/>
      <c r="E10" s="84"/>
    </row>
    <row r="11" spans="1:5" ht="14.25">
      <c r="A11" s="83" t="s">
        <v>12</v>
      </c>
      <c r="B11" s="83"/>
      <c r="C11" s="83"/>
      <c r="D11" s="70"/>
      <c r="E11" s="71"/>
    </row>
    <row r="12" spans="1:5" ht="14.25">
      <c r="A12" s="104" t="s">
        <v>16</v>
      </c>
      <c r="B12" s="105"/>
      <c r="C12" s="106"/>
      <c r="D12" s="70"/>
      <c r="E12" s="71"/>
    </row>
    <row r="13" spans="1:5" ht="14.25">
      <c r="A13" s="75" t="s">
        <v>17</v>
      </c>
      <c r="B13" s="76"/>
      <c r="C13" s="77"/>
      <c r="D13" s="78">
        <f>_xlfn.IFERROR(D12/D11,"")</f>
      </c>
      <c r="E13" s="79"/>
    </row>
    <row r="14" spans="1:5" ht="14.25">
      <c r="A14" s="87" t="s">
        <v>33</v>
      </c>
      <c r="B14" s="87"/>
      <c r="C14" s="87"/>
      <c r="D14" s="72">
        <f>IF(D13="","",IF(AND(OR(B8=5,B8=6),D13&lt;=80%),"CUMPLE",(IF(AND(B8=2,D13&lt;=70%),"CUMPLE",(IF(AND(B8=1,D13&lt;=65%),"CUMPLE",(IF(AND(B8="E",D13&lt;=50%),"CUMPLE","NO CUMPLE"))))))))</f>
      </c>
      <c r="E14" s="72"/>
    </row>
    <row r="15" spans="1:5" ht="14.25">
      <c r="A15" s="5"/>
      <c r="B15" s="5"/>
      <c r="C15" s="5"/>
      <c r="D15" s="5"/>
      <c r="E15" s="5"/>
    </row>
    <row r="16" spans="1:5" ht="15">
      <c r="A16" s="109" t="s">
        <v>182</v>
      </c>
      <c r="B16" s="109"/>
      <c r="C16" s="109"/>
      <c r="D16" s="109"/>
      <c r="E16" s="109"/>
    </row>
    <row r="17" spans="1:5" ht="12.75">
      <c r="A17" s="98" t="s">
        <v>31</v>
      </c>
      <c r="B17" s="99"/>
      <c r="C17" s="99"/>
      <c r="D17" s="99"/>
      <c r="E17" s="100"/>
    </row>
    <row r="18" spans="1:5" ht="14.25">
      <c r="A18" s="83" t="s">
        <v>4</v>
      </c>
      <c r="B18" s="83"/>
      <c r="C18" s="83"/>
      <c r="D18" s="91"/>
      <c r="E18" s="92"/>
    </row>
    <row r="19" spans="1:5" ht="14.25">
      <c r="A19" s="112" t="s">
        <v>1</v>
      </c>
      <c r="B19" s="112"/>
      <c r="C19" s="112"/>
      <c r="D19" s="93"/>
      <c r="E19" s="94"/>
    </row>
    <row r="20" spans="1:5" ht="14.25">
      <c r="A20" s="113" t="s">
        <v>14</v>
      </c>
      <c r="B20" s="113"/>
      <c r="C20" s="113"/>
      <c r="D20" s="108" t="str">
        <f>_xlfn.IFNA(VLOOKUP(D6,Bases!G12:O38,MATCH(B8,Bases!G12:O12,0),FALSE),"-")</f>
        <v>-</v>
      </c>
      <c r="E20" s="108"/>
    </row>
    <row r="21" spans="1:5" ht="14.25">
      <c r="A21" s="85" t="s">
        <v>2</v>
      </c>
      <c r="B21" s="85"/>
      <c r="C21" s="85"/>
      <c r="D21" s="114" t="str">
        <f>_xlfn.IFNA(VLOOKUP(B8,Bases!A2:F8,6),"-")</f>
        <v>-</v>
      </c>
      <c r="E21" s="114"/>
    </row>
    <row r="22" spans="1:5" ht="14.25">
      <c r="A22" s="101" t="s">
        <v>13</v>
      </c>
      <c r="B22" s="101"/>
      <c r="C22" s="101"/>
      <c r="D22" s="74" t="str">
        <f>_xlfn.IFERROR(D20*D19*D21,"-")</f>
        <v>-</v>
      </c>
      <c r="E22" s="74"/>
    </row>
    <row r="23" spans="1:5" ht="14.25">
      <c r="A23" s="85" t="s">
        <v>125</v>
      </c>
      <c r="B23" s="85"/>
      <c r="C23" s="85"/>
      <c r="D23" s="74">
        <f>+_xlfn.IFNA(IF(D11&gt;D9,D11*1.5%,D7*60),"")</f>
      </c>
      <c r="E23" s="74"/>
    </row>
    <row r="24" spans="1:5" ht="14.25">
      <c r="A24" s="85" t="s">
        <v>126</v>
      </c>
      <c r="B24" s="85"/>
      <c r="C24" s="85"/>
      <c r="D24" s="74" t="str">
        <f>_xlfn.IFERROR(D23+D22,"-")</f>
        <v>-</v>
      </c>
      <c r="E24" s="74"/>
    </row>
    <row r="25" spans="1:5" ht="14.25">
      <c r="A25" s="87" t="s">
        <v>33</v>
      </c>
      <c r="B25" s="87"/>
      <c r="C25" s="87"/>
      <c r="D25" s="72">
        <f>IF(D18="","",IF(D18&lt;=D24,"CUMPLE","NO CUMPLE"))</f>
      </c>
      <c r="E25" s="72"/>
    </row>
    <row r="26" spans="1:5" ht="15">
      <c r="A26" s="5"/>
      <c r="B26" s="6"/>
      <c r="C26" s="7"/>
      <c r="D26" s="5"/>
      <c r="E26" s="5"/>
    </row>
    <row r="27" spans="1:5" ht="15" customHeight="1">
      <c r="A27" s="109" t="s">
        <v>181</v>
      </c>
      <c r="B27" s="109"/>
      <c r="C27" s="109"/>
      <c r="D27" s="109"/>
      <c r="E27" s="109"/>
    </row>
    <row r="28" spans="1:5" ht="12.75">
      <c r="A28" s="103" t="s">
        <v>136</v>
      </c>
      <c r="B28" s="103"/>
      <c r="C28" s="103"/>
      <c r="D28" s="103"/>
      <c r="E28" s="103"/>
    </row>
    <row r="29" spans="1:5" ht="14.25">
      <c r="A29" s="83" t="s">
        <v>4</v>
      </c>
      <c r="B29" s="83"/>
      <c r="C29" s="83"/>
      <c r="D29" s="90"/>
      <c r="E29" s="90"/>
    </row>
    <row r="30" spans="1:5" ht="14.25">
      <c r="A30" s="85" t="s">
        <v>131</v>
      </c>
      <c r="B30" s="85"/>
      <c r="C30" s="85"/>
      <c r="D30" s="107" t="str">
        <f>_xlfn.IFNA(VLOOKUP(B8,Bases!A2:G8,7),"-")</f>
        <v>-</v>
      </c>
      <c r="E30" s="107"/>
    </row>
    <row r="31" spans="1:5" ht="14.25">
      <c r="A31" s="85" t="s">
        <v>127</v>
      </c>
      <c r="B31" s="85"/>
      <c r="C31" s="85"/>
      <c r="D31" s="89">
        <f>+_xlfn.IFERROR(IF(D30&lt;=1,D30*D11,D7*D30),"")</f>
      </c>
      <c r="E31" s="89"/>
    </row>
    <row r="32" spans="1:5" ht="14.25">
      <c r="A32" s="87" t="s">
        <v>33</v>
      </c>
      <c r="B32" s="87"/>
      <c r="C32" s="87"/>
      <c r="D32" s="72">
        <f>IF(D29="","",IF(AND(D29=0,D31=""),"",IF(D29&lt;=D31,"CUMPLE","NO CUMPLE")))</f>
      </c>
      <c r="E32" s="72"/>
    </row>
    <row r="33" spans="1:5" ht="14.25">
      <c r="A33" s="5"/>
      <c r="B33" s="8"/>
      <c r="C33" s="8"/>
      <c r="D33" s="5"/>
      <c r="E33" s="5"/>
    </row>
    <row r="34" spans="1:5" ht="12.75" customHeight="1">
      <c r="A34" s="84" t="s">
        <v>180</v>
      </c>
      <c r="B34" s="84"/>
      <c r="C34" s="84"/>
      <c r="D34" s="84"/>
      <c r="E34" s="84"/>
    </row>
    <row r="35" spans="1:5" ht="12.75">
      <c r="A35" s="103" t="s">
        <v>129</v>
      </c>
      <c r="B35" s="103"/>
      <c r="C35" s="103"/>
      <c r="D35" s="103"/>
      <c r="E35" s="103"/>
    </row>
    <row r="36" spans="1:5" ht="14.25">
      <c r="A36" s="86" t="s">
        <v>184</v>
      </c>
      <c r="B36" s="86"/>
      <c r="C36" s="86"/>
      <c r="D36" s="73"/>
      <c r="E36" s="73"/>
    </row>
    <row r="37" spans="1:5" ht="14.25">
      <c r="A37" s="86" t="s">
        <v>130</v>
      </c>
      <c r="B37" s="86"/>
      <c r="C37" s="86"/>
      <c r="D37" s="73"/>
      <c r="E37" s="73"/>
    </row>
    <row r="38" spans="1:5" ht="14.25">
      <c r="A38" s="86" t="s">
        <v>4</v>
      </c>
      <c r="B38" s="86"/>
      <c r="C38" s="86"/>
      <c r="D38" s="73"/>
      <c r="E38" s="73"/>
    </row>
    <row r="39" spans="1:5" ht="14.25">
      <c r="A39" s="86" t="s">
        <v>128</v>
      </c>
      <c r="B39" s="86"/>
      <c r="C39" s="86"/>
      <c r="D39" s="88"/>
      <c r="E39" s="88"/>
    </row>
    <row r="40" spans="1:5" ht="14.25">
      <c r="A40" s="87" t="s">
        <v>33</v>
      </c>
      <c r="B40" s="87"/>
      <c r="C40" s="87"/>
      <c r="D40" s="72">
        <f>_xlfn.IFERROR(IF((D39/D38)&lt;=100%,"CUMPLE","NO CUMPLE"),"")</f>
      </c>
      <c r="E40" s="72"/>
    </row>
    <row r="41" ht="12.75">
      <c r="A41" s="38" t="s">
        <v>160</v>
      </c>
    </row>
    <row r="42" ht="12.75">
      <c r="A42" s="38"/>
    </row>
    <row r="43" spans="1:5" ht="12.75">
      <c r="A43" s="68" t="s">
        <v>133</v>
      </c>
      <c r="B43" s="68"/>
      <c r="C43" s="68" t="s">
        <v>134</v>
      </c>
      <c r="D43" s="68"/>
      <c r="E43" s="68"/>
    </row>
    <row r="44" spans="1:5" ht="12.75">
      <c r="A44" s="68"/>
      <c r="B44" s="68"/>
      <c r="C44" s="68"/>
      <c r="D44" s="68"/>
      <c r="E44" s="68"/>
    </row>
    <row r="45" spans="1:5" ht="12.75">
      <c r="A45" s="68"/>
      <c r="B45" s="68"/>
      <c r="C45" s="68"/>
      <c r="D45" s="68"/>
      <c r="E45" s="68"/>
    </row>
    <row r="46" spans="1:5" ht="32.25" customHeight="1">
      <c r="A46" s="69" t="s">
        <v>37</v>
      </c>
      <c r="B46" s="68"/>
      <c r="C46" s="69" t="s">
        <v>37</v>
      </c>
      <c r="D46" s="68"/>
      <c r="E46" s="68"/>
    </row>
    <row r="47" spans="1:5" ht="12.75">
      <c r="A47" s="111" t="s">
        <v>35</v>
      </c>
      <c r="B47" s="111"/>
      <c r="C47" s="111" t="s">
        <v>35</v>
      </c>
      <c r="D47" s="111"/>
      <c r="E47" s="68"/>
    </row>
    <row r="48" spans="1:5" ht="12.75">
      <c r="A48" s="111" t="s">
        <v>36</v>
      </c>
      <c r="B48" s="111"/>
      <c r="C48" s="111" t="s">
        <v>36</v>
      </c>
      <c r="D48" s="111"/>
      <c r="E48" s="68"/>
    </row>
    <row r="49" spans="1:5" ht="12.75">
      <c r="A49" s="111" t="s">
        <v>38</v>
      </c>
      <c r="B49" s="111"/>
      <c r="C49" s="111" t="s">
        <v>38</v>
      </c>
      <c r="D49" s="111"/>
      <c r="E49" s="68"/>
    </row>
    <row r="50" spans="1:5" ht="12.75">
      <c r="A50" s="68"/>
      <c r="B50" s="68"/>
      <c r="C50" s="68" t="s">
        <v>34</v>
      </c>
      <c r="D50" s="68"/>
      <c r="E50" s="68"/>
    </row>
  </sheetData>
  <sheetProtection password="CE28" sheet="1" selectLockedCells="1"/>
  <mergeCells count="61">
    <mergeCell ref="A31:C31"/>
    <mergeCell ref="A29:C29"/>
    <mergeCell ref="C49:D49"/>
    <mergeCell ref="A20:C20"/>
    <mergeCell ref="A27:E27"/>
    <mergeCell ref="D21:E21"/>
    <mergeCell ref="D22:E22"/>
    <mergeCell ref="D38:E38"/>
    <mergeCell ref="A49:B49"/>
    <mergeCell ref="A48:B48"/>
    <mergeCell ref="A47:B47"/>
    <mergeCell ref="A39:C39"/>
    <mergeCell ref="D37:E37"/>
    <mergeCell ref="C47:D47"/>
    <mergeCell ref="C48:D48"/>
    <mergeCell ref="A37:C37"/>
    <mergeCell ref="A35:E35"/>
    <mergeCell ref="A12:C12"/>
    <mergeCell ref="A14:C14"/>
    <mergeCell ref="A30:C30"/>
    <mergeCell ref="D30:E30"/>
    <mergeCell ref="D20:E20"/>
    <mergeCell ref="A16:E16"/>
    <mergeCell ref="A19:C19"/>
    <mergeCell ref="D14:E14"/>
    <mergeCell ref="A28:E28"/>
    <mergeCell ref="A1:A4"/>
    <mergeCell ref="A17:E17"/>
    <mergeCell ref="A22:C22"/>
    <mergeCell ref="A23:C23"/>
    <mergeCell ref="A24:C24"/>
    <mergeCell ref="B1:C4"/>
    <mergeCell ref="A11:C11"/>
    <mergeCell ref="D9:E9"/>
    <mergeCell ref="A38:C38"/>
    <mergeCell ref="A40:C40"/>
    <mergeCell ref="D39:E39"/>
    <mergeCell ref="D40:E40"/>
    <mergeCell ref="A25:C25"/>
    <mergeCell ref="A32:C32"/>
    <mergeCell ref="D31:E31"/>
    <mergeCell ref="D29:E29"/>
    <mergeCell ref="A36:C36"/>
    <mergeCell ref="D25:E25"/>
    <mergeCell ref="D6:E6"/>
    <mergeCell ref="D7:E7"/>
    <mergeCell ref="D8:E8"/>
    <mergeCell ref="A18:C18"/>
    <mergeCell ref="D11:E11"/>
    <mergeCell ref="A10:E10"/>
    <mergeCell ref="D18:E18"/>
    <mergeCell ref="D12:E12"/>
    <mergeCell ref="D32:E32"/>
    <mergeCell ref="D36:E36"/>
    <mergeCell ref="D24:E24"/>
    <mergeCell ref="A13:C13"/>
    <mergeCell ref="D13:E13"/>
    <mergeCell ref="A21:C21"/>
    <mergeCell ref="D23:E23"/>
    <mergeCell ref="D19:E19"/>
    <mergeCell ref="A34:E34"/>
  </mergeCells>
  <dataValidations count="1">
    <dataValidation allowBlank="1" showInputMessage="1" showErrorMessage="1" prompt="No se diligencia. Casilla automática" sqref="D13:E13 D14:E14 D20:E20 D21:E21 D23:E23 D22:E22 D24:E24 D25:E25 D30:E30 D31:E31 D32:E32 D39:E39 D40:E40 B7 D7:E7 D8:E8"/>
  </dataValidations>
  <printOptions/>
  <pageMargins left="0.7" right="0.7" top="0.75" bottom="0.75" header="0.3" footer="0.3"/>
  <pageSetup horizontalDpi="600" verticalDpi="600" orientation="portrait" paperSize="9" scale="99" r:id="rId2"/>
  <ignoredErrors>
    <ignoredError sqref="D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zoomScale="119" zoomScaleNormal="119" zoomScalePageLayoutView="0" workbookViewId="0" topLeftCell="A15">
      <selection activeCell="O12" sqref="O12"/>
    </sheetView>
  </sheetViews>
  <sheetFormatPr defaultColWidth="11.421875" defaultRowHeight="12.75"/>
  <cols>
    <col min="1" max="1" width="2.28125" style="0" bestFit="1" customWidth="1"/>
    <col min="2" max="2" width="8.421875" style="0" bestFit="1" customWidth="1"/>
    <col min="4" max="5" width="15.7109375" style="0" customWidth="1"/>
    <col min="6" max="6" width="12.421875" style="11" customWidth="1"/>
    <col min="7" max="7" width="16.8515625" style="0" bestFit="1" customWidth="1"/>
    <col min="8" max="8" width="7.28125" style="0" bestFit="1" customWidth="1"/>
    <col min="14" max="14" width="15.00390625" style="0" bestFit="1" customWidth="1"/>
    <col min="16" max="16" width="21.28125" style="0" bestFit="1" customWidth="1"/>
    <col min="17" max="17" width="15.00390625" style="0" bestFit="1" customWidth="1"/>
  </cols>
  <sheetData>
    <row r="1" spans="1:9" ht="51">
      <c r="A1" s="115" t="s">
        <v>20</v>
      </c>
      <c r="B1" s="115"/>
      <c r="C1" s="9" t="s">
        <v>32</v>
      </c>
      <c r="D1" s="12" t="s">
        <v>148</v>
      </c>
      <c r="E1" s="12" t="s">
        <v>147</v>
      </c>
      <c r="F1" s="12" t="s">
        <v>29</v>
      </c>
      <c r="G1" s="12" t="s">
        <v>30</v>
      </c>
      <c r="I1" s="31" t="s">
        <v>154</v>
      </c>
    </row>
    <row r="2" spans="1:10" ht="12.75">
      <c r="A2" s="10" t="s">
        <v>18</v>
      </c>
      <c r="B2" s="10" t="s">
        <v>21</v>
      </c>
      <c r="C2" s="13">
        <v>0.5</v>
      </c>
      <c r="D2" s="14">
        <v>347334</v>
      </c>
      <c r="E2" s="14">
        <v>516604</v>
      </c>
      <c r="F2" s="15">
        <v>190</v>
      </c>
      <c r="G2" s="16">
        <v>0.016</v>
      </c>
      <c r="I2" t="s">
        <v>156</v>
      </c>
      <c r="J2" s="29" t="s">
        <v>155</v>
      </c>
    </row>
    <row r="3" spans="1:10" ht="12.75">
      <c r="A3" s="10">
        <v>1</v>
      </c>
      <c r="B3" s="10" t="s">
        <v>22</v>
      </c>
      <c r="C3" s="13">
        <v>0.65</v>
      </c>
      <c r="D3" s="14">
        <v>294300</v>
      </c>
      <c r="E3" s="14">
        <v>437723</v>
      </c>
      <c r="F3" s="15">
        <v>190</v>
      </c>
      <c r="G3" s="16">
        <v>0.017</v>
      </c>
      <c r="J3" s="26">
        <v>212312</v>
      </c>
    </row>
    <row r="4" spans="1:12" ht="12.75">
      <c r="A4" s="10">
        <v>2</v>
      </c>
      <c r="B4" s="10" t="s">
        <v>23</v>
      </c>
      <c r="C4" s="13">
        <v>0.7</v>
      </c>
      <c r="D4" s="14">
        <v>212727</v>
      </c>
      <c r="E4" s="14">
        <v>316394</v>
      </c>
      <c r="F4" s="15">
        <v>190</v>
      </c>
      <c r="G4" s="16">
        <v>0.022</v>
      </c>
      <c r="I4" s="29" t="s">
        <v>149</v>
      </c>
      <c r="J4" s="28">
        <v>0.0161</v>
      </c>
      <c r="K4" s="26">
        <f>+(J3*J4)+J3</f>
        <v>215730.2232</v>
      </c>
      <c r="L4" t="s">
        <v>150</v>
      </c>
    </row>
    <row r="5" spans="1:12" ht="12.75">
      <c r="A5" s="10">
        <v>3</v>
      </c>
      <c r="B5" s="10" t="s">
        <v>24</v>
      </c>
      <c r="C5" s="13">
        <v>0.7</v>
      </c>
      <c r="D5" s="14">
        <v>170641</v>
      </c>
      <c r="E5" s="14">
        <v>253797</v>
      </c>
      <c r="F5" s="15">
        <v>90</v>
      </c>
      <c r="G5" s="17">
        <v>350</v>
      </c>
      <c r="I5" s="29" t="s">
        <v>151</v>
      </c>
      <c r="J5" s="28">
        <v>0.0562</v>
      </c>
      <c r="K5" s="30">
        <f>+(K4*J5)+K4</f>
        <v>227854.26174384</v>
      </c>
      <c r="L5" t="s">
        <v>152</v>
      </c>
    </row>
    <row r="6" spans="1:7" ht="12.75">
      <c r="A6" s="10">
        <v>4</v>
      </c>
      <c r="B6" s="10" t="s">
        <v>25</v>
      </c>
      <c r="C6" s="13">
        <v>0.8</v>
      </c>
      <c r="D6" s="14">
        <v>142748</v>
      </c>
      <c r="E6" s="14">
        <v>212312</v>
      </c>
      <c r="F6" s="15">
        <v>90</v>
      </c>
      <c r="G6" s="17">
        <v>280</v>
      </c>
    </row>
    <row r="7" spans="1:7" ht="12.75">
      <c r="A7" s="10">
        <v>5</v>
      </c>
      <c r="B7" s="10" t="s">
        <v>26</v>
      </c>
      <c r="C7" s="13">
        <v>0.8</v>
      </c>
      <c r="D7" s="14">
        <v>114967</v>
      </c>
      <c r="E7" s="14">
        <v>212312</v>
      </c>
      <c r="F7" s="15">
        <v>90</v>
      </c>
      <c r="G7" s="17">
        <v>190</v>
      </c>
    </row>
    <row r="8" spans="1:7" ht="12.75">
      <c r="A8" s="10">
        <v>6</v>
      </c>
      <c r="B8" s="10" t="s">
        <v>27</v>
      </c>
      <c r="C8" s="13">
        <v>0.8</v>
      </c>
      <c r="D8" s="14">
        <v>86862</v>
      </c>
      <c r="E8" s="14">
        <v>212312</v>
      </c>
      <c r="F8" s="15">
        <v>90</v>
      </c>
      <c r="G8" s="17">
        <v>150</v>
      </c>
    </row>
    <row r="11" spans="1:9" ht="12.75">
      <c r="A11" t="s">
        <v>40</v>
      </c>
      <c r="C11" t="str">
        <f>+PROPER(A11)</f>
        <v>Bucaramanga</v>
      </c>
      <c r="D11" s="22" t="s">
        <v>137</v>
      </c>
      <c r="E11" s="22"/>
      <c r="F11"/>
      <c r="H11" s="26"/>
      <c r="I11" s="26"/>
    </row>
    <row r="12" spans="1:17" ht="12.75">
      <c r="A12" t="s">
        <v>41</v>
      </c>
      <c r="C12" t="str">
        <f aca="true" t="shared" si="0" ref="C12:C75">+PROPER(A12)</f>
        <v>Aguada</v>
      </c>
      <c r="D12" s="22" t="s">
        <v>139</v>
      </c>
      <c r="E12" s="22"/>
      <c r="F12"/>
      <c r="G12" s="34" t="s">
        <v>153</v>
      </c>
      <c r="H12" s="35" t="s">
        <v>28</v>
      </c>
      <c r="I12" s="10" t="s">
        <v>18</v>
      </c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35" t="s">
        <v>158</v>
      </c>
      <c r="Q12" s="35" t="s">
        <v>19</v>
      </c>
    </row>
    <row r="13" spans="1:17" ht="12.75">
      <c r="A13" t="s">
        <v>42</v>
      </c>
      <c r="C13" t="str">
        <f t="shared" si="0"/>
        <v>Albania</v>
      </c>
      <c r="D13" s="22" t="s">
        <v>139</v>
      </c>
      <c r="E13" s="22"/>
      <c r="F13"/>
      <c r="G13" s="33">
        <v>2000</v>
      </c>
      <c r="H13" s="28">
        <v>0.0875</v>
      </c>
      <c r="P13" s="27">
        <v>1000000000</v>
      </c>
      <c r="Q13" s="27"/>
    </row>
    <row r="14" spans="1:17" ht="12.75">
      <c r="A14" t="s">
        <v>43</v>
      </c>
      <c r="C14" t="str">
        <f t="shared" si="0"/>
        <v>Aratoca</v>
      </c>
      <c r="D14" s="22" t="s">
        <v>140</v>
      </c>
      <c r="E14" s="22"/>
      <c r="F14"/>
      <c r="G14" s="29">
        <v>2001</v>
      </c>
      <c r="H14" s="28">
        <v>0.0765</v>
      </c>
      <c r="P14" s="27">
        <f aca="true" t="shared" si="1" ref="P14:P37">+P13*(1+H13)</f>
        <v>1087500000</v>
      </c>
      <c r="Q14" s="27"/>
    </row>
    <row r="15" spans="1:17" ht="12.75">
      <c r="A15" t="s">
        <v>44</v>
      </c>
      <c r="C15" t="str">
        <f t="shared" si="0"/>
        <v>Barbosa</v>
      </c>
      <c r="D15" s="22" t="s">
        <v>139</v>
      </c>
      <c r="E15" s="22"/>
      <c r="F15"/>
      <c r="G15" s="33">
        <v>2002</v>
      </c>
      <c r="H15" s="28">
        <v>0.0699</v>
      </c>
      <c r="P15" s="27">
        <f t="shared" si="1"/>
        <v>1170693750</v>
      </c>
      <c r="Q15" s="27"/>
    </row>
    <row r="16" spans="1:17" ht="12.75">
      <c r="A16" t="s">
        <v>45</v>
      </c>
      <c r="C16" t="str">
        <f t="shared" si="0"/>
        <v>Barichara</v>
      </c>
      <c r="D16" s="22" t="s">
        <v>140</v>
      </c>
      <c r="E16" s="22"/>
      <c r="F16"/>
      <c r="G16" s="33">
        <v>2003</v>
      </c>
      <c r="H16" s="28">
        <v>0.0649</v>
      </c>
      <c r="P16" s="27">
        <f t="shared" si="1"/>
        <v>1252525243.125</v>
      </c>
      <c r="Q16" s="27"/>
    </row>
    <row r="17" spans="1:17" ht="12.75">
      <c r="A17" t="s">
        <v>46</v>
      </c>
      <c r="C17" t="str">
        <f t="shared" si="0"/>
        <v>Barrancabermeja</v>
      </c>
      <c r="D17" s="22" t="s">
        <v>141</v>
      </c>
      <c r="E17" s="22"/>
      <c r="F17"/>
      <c r="G17" s="29">
        <v>2004</v>
      </c>
      <c r="H17" s="28">
        <v>0.055</v>
      </c>
      <c r="P17" s="27">
        <f t="shared" si="1"/>
        <v>1333814131.4038124</v>
      </c>
      <c r="Q17" s="27"/>
    </row>
    <row r="18" spans="1:17" ht="12.75">
      <c r="A18" t="s">
        <v>47</v>
      </c>
      <c r="C18" t="str">
        <f t="shared" si="0"/>
        <v>Betulia</v>
      </c>
      <c r="D18" s="22" t="s">
        <v>141</v>
      </c>
      <c r="E18" s="22"/>
      <c r="F18"/>
      <c r="G18" s="33">
        <v>2005</v>
      </c>
      <c r="H18" s="28">
        <v>0.0485</v>
      </c>
      <c r="P18" s="27">
        <f t="shared" si="1"/>
        <v>1407173908.631022</v>
      </c>
      <c r="Q18" s="27"/>
    </row>
    <row r="19" spans="1:17" ht="12.75">
      <c r="A19" t="s">
        <v>48</v>
      </c>
      <c r="C19" t="str">
        <f t="shared" si="0"/>
        <v>Bolivar</v>
      </c>
      <c r="D19" s="22" t="s">
        <v>139</v>
      </c>
      <c r="E19" s="22"/>
      <c r="F19"/>
      <c r="G19" s="33">
        <v>2006</v>
      </c>
      <c r="H19" s="28">
        <v>0.0448</v>
      </c>
      <c r="P19" s="27">
        <f t="shared" si="1"/>
        <v>1475421843.1996264</v>
      </c>
      <c r="Q19" s="27"/>
    </row>
    <row r="20" spans="1:17" ht="12.75">
      <c r="A20" t="s">
        <v>49</v>
      </c>
      <c r="C20" t="str">
        <f t="shared" si="0"/>
        <v>Cabrera</v>
      </c>
      <c r="D20" s="22" t="s">
        <v>140</v>
      </c>
      <c r="E20" s="22"/>
      <c r="F20"/>
      <c r="G20" s="29">
        <v>2007</v>
      </c>
      <c r="H20" s="28">
        <v>0.0569</v>
      </c>
      <c r="P20" s="27">
        <f t="shared" si="1"/>
        <v>1541520741.7749696</v>
      </c>
      <c r="Q20" s="27"/>
    </row>
    <row r="21" spans="1:17" ht="12.75">
      <c r="A21" t="s">
        <v>50</v>
      </c>
      <c r="C21" t="str">
        <f t="shared" si="0"/>
        <v>California</v>
      </c>
      <c r="D21" s="22" t="s">
        <v>143</v>
      </c>
      <c r="E21" s="22"/>
      <c r="F21"/>
      <c r="G21" s="33">
        <v>2008</v>
      </c>
      <c r="H21" s="28">
        <v>0.0767</v>
      </c>
      <c r="P21" s="27">
        <f t="shared" si="1"/>
        <v>1629233271.9819653</v>
      </c>
      <c r="Q21" s="27"/>
    </row>
    <row r="22" spans="1:17" ht="12.75">
      <c r="A22" t="s">
        <v>51</v>
      </c>
      <c r="C22" t="str">
        <f t="shared" si="0"/>
        <v>Capitanejo</v>
      </c>
      <c r="D22" s="22" t="s">
        <v>138</v>
      </c>
      <c r="E22" s="22"/>
      <c r="F22"/>
      <c r="G22" s="33">
        <v>2009</v>
      </c>
      <c r="H22" s="28">
        <v>0.02</v>
      </c>
      <c r="P22" s="27">
        <f t="shared" si="1"/>
        <v>1754195463.942982</v>
      </c>
      <c r="Q22" s="27">
        <v>496900</v>
      </c>
    </row>
    <row r="23" spans="1:17" ht="12.75">
      <c r="A23" t="s">
        <v>52</v>
      </c>
      <c r="C23" t="str">
        <f t="shared" si="0"/>
        <v>Carcasi</v>
      </c>
      <c r="D23" s="22" t="s">
        <v>138</v>
      </c>
      <c r="E23" s="22"/>
      <c r="F23"/>
      <c r="G23" s="29">
        <v>2010</v>
      </c>
      <c r="H23" s="28">
        <v>0.0317</v>
      </c>
      <c r="I23" s="26">
        <f>+(D2*H22)+D2</f>
        <v>354280.68</v>
      </c>
      <c r="J23" s="26">
        <f>+(D3*H22)+D3</f>
        <v>300186</v>
      </c>
      <c r="K23" s="26">
        <f>+(D4*H22)+D4</f>
        <v>216981.54</v>
      </c>
      <c r="L23" s="26">
        <f>+(D5*H22)+D5</f>
        <v>174053.82</v>
      </c>
      <c r="M23" s="26">
        <f>+(D6*H22)+D6</f>
        <v>145602.96</v>
      </c>
      <c r="N23" s="26">
        <f>+(D7*H22)+D7</f>
        <v>117266.34</v>
      </c>
      <c r="O23" s="26">
        <f>+(D8*H22)+D8</f>
        <v>88599.24</v>
      </c>
      <c r="P23" s="27">
        <f t="shared" si="1"/>
        <v>1789279373.2218416</v>
      </c>
      <c r="Q23" s="27">
        <v>515000</v>
      </c>
    </row>
    <row r="24" spans="1:17" ht="12.75">
      <c r="A24" t="s">
        <v>53</v>
      </c>
      <c r="C24" t="str">
        <f t="shared" si="0"/>
        <v>Cepita</v>
      </c>
      <c r="D24" s="22" t="s">
        <v>140</v>
      </c>
      <c r="E24" s="22"/>
      <c r="F24"/>
      <c r="G24" s="33">
        <v>2011</v>
      </c>
      <c r="H24" s="28">
        <v>0.0373</v>
      </c>
      <c r="I24" s="26">
        <f aca="true" t="shared" si="2" ref="I24:I37">+(I23*H23)+I23</f>
        <v>365511.377556</v>
      </c>
      <c r="J24" s="26">
        <f aca="true" t="shared" si="3" ref="J24:J37">+(J23*H23)+J23</f>
        <v>309701.8962</v>
      </c>
      <c r="K24" s="26">
        <f aca="true" t="shared" si="4" ref="K24:K37">+(K23*H23)+K23</f>
        <v>223859.85481800002</v>
      </c>
      <c r="L24" s="26">
        <f aca="true" t="shared" si="5" ref="L24:L37">+(L23*H23)+L23</f>
        <v>179571.32609400002</v>
      </c>
      <c r="M24" s="26">
        <f aca="true" t="shared" si="6" ref="M24:M37">+(M23*H23)+M23</f>
        <v>150218.573832</v>
      </c>
      <c r="N24" s="26">
        <f aca="true" t="shared" si="7" ref="N24:N37">+(N23*H23)+N23</f>
        <v>120983.682978</v>
      </c>
      <c r="O24" s="26">
        <f aca="true" t="shared" si="8" ref="O24:O37">+(O23*H23)+O23</f>
        <v>91407.83590800001</v>
      </c>
      <c r="P24" s="27">
        <f t="shared" si="1"/>
        <v>1845999529.3529742</v>
      </c>
      <c r="Q24" s="27">
        <v>535600</v>
      </c>
    </row>
    <row r="25" spans="1:17" ht="12.75">
      <c r="A25" t="s">
        <v>54</v>
      </c>
      <c r="C25" t="str">
        <f t="shared" si="0"/>
        <v>Cerrito</v>
      </c>
      <c r="D25" s="22" t="s">
        <v>138</v>
      </c>
      <c r="E25" s="22"/>
      <c r="F25"/>
      <c r="G25" s="29">
        <v>2012</v>
      </c>
      <c r="H25" s="28">
        <v>0.0244</v>
      </c>
      <c r="I25" s="26">
        <f t="shared" si="2"/>
        <v>379144.9519388388</v>
      </c>
      <c r="J25" s="26">
        <f t="shared" si="3"/>
        <v>321253.77692826</v>
      </c>
      <c r="K25" s="26">
        <f t="shared" si="4"/>
        <v>232209.8274027114</v>
      </c>
      <c r="L25" s="26">
        <f t="shared" si="5"/>
        <v>186269.33655730623</v>
      </c>
      <c r="M25" s="26">
        <f t="shared" si="6"/>
        <v>155821.7266359336</v>
      </c>
      <c r="N25" s="26">
        <f t="shared" si="7"/>
        <v>125496.3743530794</v>
      </c>
      <c r="O25" s="26">
        <f t="shared" si="8"/>
        <v>94817.3481873684</v>
      </c>
      <c r="P25" s="27">
        <f t="shared" si="1"/>
        <v>1914855311.7978404</v>
      </c>
      <c r="Q25" s="27">
        <v>566700</v>
      </c>
    </row>
    <row r="26" spans="1:17" ht="12.75">
      <c r="A26" t="s">
        <v>55</v>
      </c>
      <c r="C26" t="str">
        <f t="shared" si="0"/>
        <v>Charala</v>
      </c>
      <c r="D26" s="22" t="s">
        <v>140</v>
      </c>
      <c r="E26" s="22"/>
      <c r="F26"/>
      <c r="G26" s="33">
        <v>2013</v>
      </c>
      <c r="H26" s="28">
        <v>0.0194</v>
      </c>
      <c r="I26" s="26">
        <f t="shared" si="2"/>
        <v>388396.0887661465</v>
      </c>
      <c r="J26" s="26">
        <f t="shared" si="3"/>
        <v>329092.36908530956</v>
      </c>
      <c r="K26" s="26">
        <f t="shared" si="4"/>
        <v>237875.74719133758</v>
      </c>
      <c r="L26" s="26">
        <f t="shared" si="5"/>
        <v>190814.30836930452</v>
      </c>
      <c r="M26" s="26">
        <f t="shared" si="6"/>
        <v>159623.77676585037</v>
      </c>
      <c r="N26" s="26">
        <f t="shared" si="7"/>
        <v>128558.48588729453</v>
      </c>
      <c r="O26" s="26">
        <f t="shared" si="8"/>
        <v>97130.89148314019</v>
      </c>
      <c r="P26" s="27">
        <f t="shared" si="1"/>
        <v>1961577781.4057076</v>
      </c>
      <c r="Q26" s="27">
        <v>589500</v>
      </c>
    </row>
    <row r="27" spans="1:17" ht="12.75">
      <c r="A27" t="s">
        <v>56</v>
      </c>
      <c r="C27" t="str">
        <f t="shared" si="0"/>
        <v>Charta</v>
      </c>
      <c r="D27" s="22" t="s">
        <v>143</v>
      </c>
      <c r="E27" s="22"/>
      <c r="F27"/>
      <c r="G27" s="29">
        <v>2014</v>
      </c>
      <c r="H27" s="28">
        <v>0.0366</v>
      </c>
      <c r="I27" s="26">
        <f t="shared" si="2"/>
        <v>395930.97288820974</v>
      </c>
      <c r="J27" s="26">
        <f t="shared" si="3"/>
        <v>335476.76104556455</v>
      </c>
      <c r="K27" s="26">
        <f t="shared" si="4"/>
        <v>242490.53668684952</v>
      </c>
      <c r="L27" s="26">
        <f t="shared" si="5"/>
        <v>194516.10595166901</v>
      </c>
      <c r="M27" s="26">
        <f t="shared" si="6"/>
        <v>162720.47803510787</v>
      </c>
      <c r="N27" s="26">
        <f t="shared" si="7"/>
        <v>131052.52051350805</v>
      </c>
      <c r="O27" s="26">
        <f t="shared" si="8"/>
        <v>99015.23077791311</v>
      </c>
      <c r="P27" s="27">
        <f t="shared" si="1"/>
        <v>1999632390.3649786</v>
      </c>
      <c r="Q27" s="27">
        <v>616000</v>
      </c>
    </row>
    <row r="28" spans="1:17" ht="12.75">
      <c r="A28" t="s">
        <v>57</v>
      </c>
      <c r="C28" t="str">
        <f t="shared" si="0"/>
        <v>Chima</v>
      </c>
      <c r="D28" s="22" t="s">
        <v>142</v>
      </c>
      <c r="E28" s="22"/>
      <c r="F28"/>
      <c r="G28" s="33">
        <v>2015</v>
      </c>
      <c r="H28" s="28">
        <v>0.0677</v>
      </c>
      <c r="I28" s="26">
        <f t="shared" si="2"/>
        <v>410422.04649591824</v>
      </c>
      <c r="J28" s="26">
        <f t="shared" si="3"/>
        <v>347755.21049983223</v>
      </c>
      <c r="K28" s="26">
        <f t="shared" si="4"/>
        <v>251365.69032958822</v>
      </c>
      <c r="L28" s="26">
        <f t="shared" si="5"/>
        <v>201635.3954295001</v>
      </c>
      <c r="M28" s="26">
        <f t="shared" si="6"/>
        <v>168676.0475311928</v>
      </c>
      <c r="N28" s="26">
        <f t="shared" si="7"/>
        <v>135849.04276430243</v>
      </c>
      <c r="O28" s="26">
        <f t="shared" si="8"/>
        <v>102639.18822438472</v>
      </c>
      <c r="P28" s="27">
        <f t="shared" si="1"/>
        <v>2072818935.8523366</v>
      </c>
      <c r="Q28" s="27">
        <v>644350</v>
      </c>
    </row>
    <row r="29" spans="1:17" ht="12.75">
      <c r="A29" t="s">
        <v>58</v>
      </c>
      <c r="C29" t="str">
        <f t="shared" si="0"/>
        <v>Chipata</v>
      </c>
      <c r="D29" s="22" t="s">
        <v>139</v>
      </c>
      <c r="E29" s="22"/>
      <c r="F29"/>
      <c r="G29" s="29">
        <v>2016</v>
      </c>
      <c r="H29" s="28">
        <v>0.0575</v>
      </c>
      <c r="I29" s="26">
        <f t="shared" si="2"/>
        <v>438207.6190436919</v>
      </c>
      <c r="J29" s="26">
        <f t="shared" si="3"/>
        <v>371298.2382506709</v>
      </c>
      <c r="K29" s="26">
        <f t="shared" si="4"/>
        <v>268383.14756490133</v>
      </c>
      <c r="L29" s="26">
        <f t="shared" si="5"/>
        <v>215286.11170007725</v>
      </c>
      <c r="M29" s="26">
        <f t="shared" si="6"/>
        <v>180095.41594905456</v>
      </c>
      <c r="N29" s="26">
        <f t="shared" si="7"/>
        <v>145046.02295944572</v>
      </c>
      <c r="O29" s="26">
        <f t="shared" si="8"/>
        <v>109587.86126717557</v>
      </c>
      <c r="P29" s="27">
        <f t="shared" si="1"/>
        <v>2213148777.80954</v>
      </c>
      <c r="Q29" s="27">
        <v>689454</v>
      </c>
    </row>
    <row r="30" spans="1:17" ht="12.75">
      <c r="A30" t="s">
        <v>59</v>
      </c>
      <c r="C30" t="str">
        <f t="shared" si="0"/>
        <v>Cimitarra</v>
      </c>
      <c r="D30" s="22" t="s">
        <v>139</v>
      </c>
      <c r="E30" s="22"/>
      <c r="G30" s="33">
        <v>2017</v>
      </c>
      <c r="H30" s="28">
        <v>0.0409</v>
      </c>
      <c r="I30" s="26">
        <f t="shared" si="2"/>
        <v>463404.5571387042</v>
      </c>
      <c r="J30" s="26">
        <f t="shared" si="3"/>
        <v>392647.8869500845</v>
      </c>
      <c r="K30" s="26">
        <f t="shared" si="4"/>
        <v>283815.17854988313</v>
      </c>
      <c r="L30" s="26">
        <f t="shared" si="5"/>
        <v>227665.0631228317</v>
      </c>
      <c r="M30" s="26">
        <f t="shared" si="6"/>
        <v>190450.9023661252</v>
      </c>
      <c r="N30" s="26">
        <f t="shared" si="7"/>
        <v>153386.16927961385</v>
      </c>
      <c r="O30" s="26">
        <f t="shared" si="8"/>
        <v>115889.16329003817</v>
      </c>
      <c r="P30" s="27">
        <f t="shared" si="1"/>
        <v>2340404832.5335884</v>
      </c>
      <c r="Q30" s="27">
        <v>737717</v>
      </c>
    </row>
    <row r="31" spans="1:17" ht="12.75">
      <c r="A31" t="s">
        <v>60</v>
      </c>
      <c r="C31" t="str">
        <f t="shared" si="0"/>
        <v>Concepcion</v>
      </c>
      <c r="D31" s="22" t="s">
        <v>138</v>
      </c>
      <c r="E31" s="22"/>
      <c r="G31" s="29">
        <v>2018</v>
      </c>
      <c r="H31" s="28">
        <v>0.0318</v>
      </c>
      <c r="I31" s="26">
        <f t="shared" si="2"/>
        <v>482357.8035256772</v>
      </c>
      <c r="J31" s="26">
        <f t="shared" si="3"/>
        <v>408707.18552634295</v>
      </c>
      <c r="K31" s="26">
        <f t="shared" si="4"/>
        <v>295423.21935257333</v>
      </c>
      <c r="L31" s="26">
        <f t="shared" si="5"/>
        <v>236976.5642045555</v>
      </c>
      <c r="M31" s="26">
        <f t="shared" si="6"/>
        <v>198240.34427289973</v>
      </c>
      <c r="N31" s="26">
        <f t="shared" si="7"/>
        <v>159659.66360315005</v>
      </c>
      <c r="O31" s="26">
        <f t="shared" si="8"/>
        <v>120629.03006860072</v>
      </c>
      <c r="P31" s="27">
        <f t="shared" si="1"/>
        <v>2436127390.184212</v>
      </c>
      <c r="Q31" s="27">
        <v>781242</v>
      </c>
    </row>
    <row r="32" spans="1:17" ht="12.75">
      <c r="A32" t="s">
        <v>61</v>
      </c>
      <c r="C32" t="str">
        <f t="shared" si="0"/>
        <v>Confines</v>
      </c>
      <c r="D32" s="22" t="s">
        <v>142</v>
      </c>
      <c r="E32" s="22"/>
      <c r="G32" s="33">
        <v>2019</v>
      </c>
      <c r="H32" s="28">
        <v>0.038</v>
      </c>
      <c r="I32" s="26">
        <f t="shared" si="2"/>
        <v>497696.7816777937</v>
      </c>
      <c r="J32" s="26">
        <f t="shared" si="3"/>
        <v>421704.07402608066</v>
      </c>
      <c r="K32" s="26">
        <f t="shared" si="4"/>
        <v>304817.67772798514</v>
      </c>
      <c r="L32" s="26">
        <f t="shared" si="5"/>
        <v>244512.41894626035</v>
      </c>
      <c r="M32" s="26">
        <f t="shared" si="6"/>
        <v>204544.38722077795</v>
      </c>
      <c r="N32" s="26">
        <f t="shared" si="7"/>
        <v>164736.84090573023</v>
      </c>
      <c r="O32" s="26">
        <f t="shared" si="8"/>
        <v>124465.03322478222</v>
      </c>
      <c r="P32" s="27">
        <f t="shared" si="1"/>
        <v>2513596241.1920705</v>
      </c>
      <c r="Q32" s="27">
        <v>828116</v>
      </c>
    </row>
    <row r="33" spans="1:17" ht="12.75">
      <c r="A33" t="s">
        <v>62</v>
      </c>
      <c r="C33" t="str">
        <f t="shared" si="0"/>
        <v>Contratacion</v>
      </c>
      <c r="D33" s="22" t="s">
        <v>142</v>
      </c>
      <c r="E33" s="22"/>
      <c r="G33" s="29">
        <v>2020</v>
      </c>
      <c r="H33" s="28">
        <v>0.0161</v>
      </c>
      <c r="I33" s="26">
        <f t="shared" si="2"/>
        <v>516609.2593815499</v>
      </c>
      <c r="J33" s="26">
        <f t="shared" si="3"/>
        <v>437728.82883907174</v>
      </c>
      <c r="K33" s="26">
        <f t="shared" si="4"/>
        <v>316400.74948164856</v>
      </c>
      <c r="L33" s="26">
        <f t="shared" si="5"/>
        <v>253803.89086621825</v>
      </c>
      <c r="M33" s="26">
        <f t="shared" si="6"/>
        <v>212317.07393516751</v>
      </c>
      <c r="N33" s="26">
        <f t="shared" si="7"/>
        <v>170996.840860148</v>
      </c>
      <c r="O33" s="26">
        <f t="shared" si="8"/>
        <v>129194.70448732395</v>
      </c>
      <c r="P33" s="27">
        <f t="shared" si="1"/>
        <v>2609112898.3573694</v>
      </c>
      <c r="Q33" s="27">
        <v>877803</v>
      </c>
    </row>
    <row r="34" spans="1:17" ht="12.75">
      <c r="A34" t="s">
        <v>63</v>
      </c>
      <c r="C34" t="str">
        <f t="shared" si="0"/>
        <v>Coromoro</v>
      </c>
      <c r="D34" s="22" t="s">
        <v>140</v>
      </c>
      <c r="E34" s="22"/>
      <c r="G34" s="33">
        <v>2021</v>
      </c>
      <c r="H34" s="51">
        <v>0.0562</v>
      </c>
      <c r="I34" s="66">
        <f t="shared" si="2"/>
        <v>524926.6684575928</v>
      </c>
      <c r="J34" s="66">
        <f t="shared" si="3"/>
        <v>444776.2629833808</v>
      </c>
      <c r="K34" s="66">
        <f t="shared" si="4"/>
        <v>321494.8015483031</v>
      </c>
      <c r="L34" s="66">
        <f t="shared" si="5"/>
        <v>257890.13350916436</v>
      </c>
      <c r="M34" s="66">
        <f t="shared" si="6"/>
        <v>215735.37882552372</v>
      </c>
      <c r="N34" s="66">
        <f t="shared" si="7"/>
        <v>173749.88999799636</v>
      </c>
      <c r="O34" s="66">
        <f t="shared" si="8"/>
        <v>131274.73922956985</v>
      </c>
      <c r="P34" s="27">
        <f t="shared" si="1"/>
        <v>2651119616.020923</v>
      </c>
      <c r="Q34" s="27">
        <v>908526</v>
      </c>
    </row>
    <row r="35" spans="1:17" ht="12.75">
      <c r="A35" t="s">
        <v>64</v>
      </c>
      <c r="C35" t="str">
        <f t="shared" si="0"/>
        <v>Curiti</v>
      </c>
      <c r="D35" s="22" t="s">
        <v>140</v>
      </c>
      <c r="E35" s="22"/>
      <c r="G35" s="33">
        <v>2022</v>
      </c>
      <c r="H35" s="51">
        <v>0.1312</v>
      </c>
      <c r="I35" s="66">
        <f t="shared" si="2"/>
        <v>554427.5472249095</v>
      </c>
      <c r="J35" s="66">
        <f t="shared" si="3"/>
        <v>469772.6889630468</v>
      </c>
      <c r="K35" s="66">
        <f t="shared" si="4"/>
        <v>339562.80939531774</v>
      </c>
      <c r="L35" s="66">
        <f t="shared" si="5"/>
        <v>272383.5590123794</v>
      </c>
      <c r="M35" s="66">
        <f t="shared" si="6"/>
        <v>227859.70711551816</v>
      </c>
      <c r="N35" s="66">
        <f t="shared" si="7"/>
        <v>183514.63381588375</v>
      </c>
      <c r="O35" s="67">
        <f t="shared" si="8"/>
        <v>138652.37957427168</v>
      </c>
      <c r="P35" s="27">
        <f t="shared" si="1"/>
        <v>2800112538.441299</v>
      </c>
      <c r="Q35" s="27">
        <v>1000000</v>
      </c>
    </row>
    <row r="36" spans="1:17" ht="12.75">
      <c r="A36" t="s">
        <v>65</v>
      </c>
      <c r="C36" t="str">
        <f t="shared" si="0"/>
        <v>El Carmen</v>
      </c>
      <c r="D36" s="22" t="s">
        <v>141</v>
      </c>
      <c r="E36" s="22"/>
      <c r="G36" s="33">
        <v>2023</v>
      </c>
      <c r="H36" s="28">
        <v>0.0928</v>
      </c>
      <c r="I36" s="26">
        <f t="shared" si="2"/>
        <v>627168.4414208176</v>
      </c>
      <c r="J36" s="26">
        <f t="shared" si="3"/>
        <v>531406.8657549985</v>
      </c>
      <c r="K36" s="26">
        <f t="shared" si="4"/>
        <v>384113.44998798345</v>
      </c>
      <c r="L36" s="26">
        <f t="shared" si="5"/>
        <v>308120.28195480356</v>
      </c>
      <c r="M36" s="26">
        <f t="shared" si="6"/>
        <v>257754.90068907416</v>
      </c>
      <c r="N36" s="26">
        <f t="shared" si="7"/>
        <v>207591.7537725277</v>
      </c>
      <c r="O36" s="32">
        <f t="shared" si="8"/>
        <v>156843.5717744161</v>
      </c>
      <c r="P36" s="27">
        <f t="shared" si="1"/>
        <v>3167487303.4847975</v>
      </c>
      <c r="Q36" s="27">
        <v>1160000</v>
      </c>
    </row>
    <row r="37" spans="1:17" ht="12.75">
      <c r="A37" t="s">
        <v>66</v>
      </c>
      <c r="C37" t="str">
        <f t="shared" si="0"/>
        <v>El Guacamayo</v>
      </c>
      <c r="D37" s="22" t="s">
        <v>142</v>
      </c>
      <c r="E37" s="22"/>
      <c r="G37" s="33">
        <v>2024</v>
      </c>
      <c r="I37" s="26">
        <f t="shared" si="2"/>
        <v>685369.6727846696</v>
      </c>
      <c r="J37" s="26">
        <f t="shared" si="3"/>
        <v>580721.4228970624</v>
      </c>
      <c r="K37" s="26">
        <f t="shared" si="4"/>
        <v>419759.1781468683</v>
      </c>
      <c r="L37" s="26">
        <f t="shared" si="5"/>
        <v>336713.84412020934</v>
      </c>
      <c r="M37" s="26">
        <f t="shared" si="6"/>
        <v>281674.55547302024</v>
      </c>
      <c r="N37" s="26">
        <f t="shared" si="7"/>
        <v>226856.26852261828</v>
      </c>
      <c r="O37" s="32">
        <f t="shared" si="8"/>
        <v>171398.6552350819</v>
      </c>
      <c r="P37" s="27">
        <f t="shared" si="1"/>
        <v>3461430125.2481866</v>
      </c>
      <c r="Q37" s="27">
        <v>1300000</v>
      </c>
    </row>
    <row r="38" spans="1:15" ht="12.75">
      <c r="A38" t="s">
        <v>67</v>
      </c>
      <c r="C38" t="str">
        <f t="shared" si="0"/>
        <v>El Peñon</v>
      </c>
      <c r="D38" s="22" t="s">
        <v>139</v>
      </c>
      <c r="E38" s="22"/>
      <c r="G38" s="33">
        <v>2025</v>
      </c>
      <c r="N38" s="26"/>
      <c r="O38" s="32"/>
    </row>
    <row r="39" spans="1:5" ht="12.75">
      <c r="A39" t="s">
        <v>68</v>
      </c>
      <c r="C39" t="str">
        <f t="shared" si="0"/>
        <v>El Playon</v>
      </c>
      <c r="D39" s="22" t="s">
        <v>137</v>
      </c>
      <c r="E39" s="22"/>
    </row>
    <row r="40" spans="1:5" ht="12.75">
      <c r="A40" t="s">
        <v>69</v>
      </c>
      <c r="C40" t="str">
        <f t="shared" si="0"/>
        <v>Encino</v>
      </c>
      <c r="D40" s="22" t="s">
        <v>140</v>
      </c>
      <c r="E40" s="22"/>
    </row>
    <row r="41" spans="1:5" ht="12.75">
      <c r="A41" t="s">
        <v>70</v>
      </c>
      <c r="C41" t="str">
        <f t="shared" si="0"/>
        <v>Enciso</v>
      </c>
      <c r="D41" s="22" t="s">
        <v>138</v>
      </c>
      <c r="E41" s="22"/>
    </row>
    <row r="42" spans="1:5" ht="12.75">
      <c r="A42" t="s">
        <v>71</v>
      </c>
      <c r="C42" t="str">
        <f t="shared" si="0"/>
        <v>Florian</v>
      </c>
      <c r="D42" s="22" t="s">
        <v>139</v>
      </c>
      <c r="E42" s="22"/>
    </row>
    <row r="43" spans="1:5" ht="12.75">
      <c r="A43" t="s">
        <v>72</v>
      </c>
      <c r="C43" t="str">
        <f t="shared" si="0"/>
        <v>Floridablanca</v>
      </c>
      <c r="D43" s="22" t="s">
        <v>137</v>
      </c>
      <c r="E43" s="22"/>
    </row>
    <row r="44" spans="1:5" ht="12.75">
      <c r="A44" t="s">
        <v>73</v>
      </c>
      <c r="C44" t="str">
        <f t="shared" si="0"/>
        <v>Galan</v>
      </c>
      <c r="D44" s="22" t="s">
        <v>142</v>
      </c>
      <c r="E44" s="22"/>
    </row>
    <row r="45" spans="1:5" ht="12.75">
      <c r="A45" t="s">
        <v>74</v>
      </c>
      <c r="C45" t="str">
        <f t="shared" si="0"/>
        <v>Gambita</v>
      </c>
      <c r="D45" s="22" t="s">
        <v>142</v>
      </c>
      <c r="E45" s="22"/>
    </row>
    <row r="46" spans="1:5" ht="12.75">
      <c r="A46" s="23" t="s">
        <v>179</v>
      </c>
      <c r="C46" t="str">
        <f t="shared" si="0"/>
        <v>Girón</v>
      </c>
      <c r="D46" s="22" t="s">
        <v>137</v>
      </c>
      <c r="E46" s="22"/>
    </row>
    <row r="47" spans="1:5" ht="12.75">
      <c r="A47" t="s">
        <v>75</v>
      </c>
      <c r="C47" t="str">
        <f t="shared" si="0"/>
        <v>Guaca</v>
      </c>
      <c r="D47" s="22" t="s">
        <v>138</v>
      </c>
      <c r="E47" s="22"/>
    </row>
    <row r="48" spans="1:5" ht="12.75">
      <c r="A48" t="s">
        <v>76</v>
      </c>
      <c r="C48" t="str">
        <f t="shared" si="0"/>
        <v>Guadalupe</v>
      </c>
      <c r="D48" s="22" t="s">
        <v>142</v>
      </c>
      <c r="E48" s="22"/>
    </row>
    <row r="49" spans="1:5" ht="12.75">
      <c r="A49" t="s">
        <v>77</v>
      </c>
      <c r="C49" t="str">
        <f t="shared" si="0"/>
        <v>Guapota</v>
      </c>
      <c r="D49" s="22" t="s">
        <v>142</v>
      </c>
      <c r="E49" s="22"/>
    </row>
    <row r="50" spans="1:5" ht="12.75">
      <c r="A50" t="s">
        <v>78</v>
      </c>
      <c r="C50" t="str">
        <f t="shared" si="0"/>
        <v>Guavata</v>
      </c>
      <c r="D50" s="22" t="s">
        <v>139</v>
      </c>
      <c r="E50" s="22"/>
    </row>
    <row r="51" spans="1:5" ht="12.75">
      <c r="A51" t="s">
        <v>79</v>
      </c>
      <c r="C51" t="str">
        <f t="shared" si="0"/>
        <v>Guepsa</v>
      </c>
      <c r="D51" s="22" t="s">
        <v>139</v>
      </c>
      <c r="E51" s="22"/>
    </row>
    <row r="52" spans="1:5" ht="12.75">
      <c r="A52" t="s">
        <v>80</v>
      </c>
      <c r="C52" t="str">
        <f t="shared" si="0"/>
        <v>Hato</v>
      </c>
      <c r="D52" s="22" t="s">
        <v>142</v>
      </c>
      <c r="E52" s="22"/>
    </row>
    <row r="53" spans="1:5" ht="12.75">
      <c r="A53" t="s">
        <v>81</v>
      </c>
      <c r="C53" t="str">
        <f t="shared" si="0"/>
        <v>Jesus Maria</v>
      </c>
      <c r="D53" s="22" t="s">
        <v>139</v>
      </c>
      <c r="E53" s="22"/>
    </row>
    <row r="54" spans="1:5" ht="12.75">
      <c r="A54" t="s">
        <v>82</v>
      </c>
      <c r="C54" t="str">
        <f t="shared" si="0"/>
        <v>Jordan</v>
      </c>
      <c r="D54" s="22" t="s">
        <v>140</v>
      </c>
      <c r="E54" s="22"/>
    </row>
    <row r="55" spans="1:5" ht="12.75">
      <c r="A55" t="s">
        <v>83</v>
      </c>
      <c r="C55" t="str">
        <f t="shared" si="0"/>
        <v>La Belleza</v>
      </c>
      <c r="D55" s="22" t="s">
        <v>139</v>
      </c>
      <c r="E55" s="22"/>
    </row>
    <row r="56" spans="1:5" ht="12.75">
      <c r="A56" t="s">
        <v>84</v>
      </c>
      <c r="C56" t="str">
        <f t="shared" si="0"/>
        <v>Landazuri</v>
      </c>
      <c r="D56" s="22" t="s">
        <v>139</v>
      </c>
      <c r="E56" s="22"/>
    </row>
    <row r="57" spans="1:5" ht="12.75">
      <c r="A57" t="s">
        <v>85</v>
      </c>
      <c r="C57" t="str">
        <f t="shared" si="0"/>
        <v>La Paz</v>
      </c>
      <c r="D57" s="22" t="s">
        <v>139</v>
      </c>
      <c r="E57" s="22"/>
    </row>
    <row r="58" spans="1:5" ht="12.75">
      <c r="A58" t="s">
        <v>86</v>
      </c>
      <c r="C58" t="str">
        <f t="shared" si="0"/>
        <v>Lebrija</v>
      </c>
      <c r="D58" s="22" t="s">
        <v>137</v>
      </c>
      <c r="E58" s="22"/>
    </row>
    <row r="59" spans="1:5" ht="12.75">
      <c r="A59" t="s">
        <v>87</v>
      </c>
      <c r="C59" t="str">
        <f t="shared" si="0"/>
        <v>Los Santos</v>
      </c>
      <c r="D59" s="22" t="s">
        <v>137</v>
      </c>
      <c r="E59" s="22"/>
    </row>
    <row r="60" spans="1:5" ht="12.75">
      <c r="A60" t="s">
        <v>88</v>
      </c>
      <c r="C60" t="str">
        <f t="shared" si="0"/>
        <v>Macaravita</v>
      </c>
      <c r="D60" s="22" t="s">
        <v>138</v>
      </c>
      <c r="E60" s="22"/>
    </row>
    <row r="61" spans="1:5" ht="12.75">
      <c r="A61" t="s">
        <v>89</v>
      </c>
      <c r="C61" t="str">
        <f t="shared" si="0"/>
        <v>Malaga</v>
      </c>
      <c r="D61" s="22" t="s">
        <v>138</v>
      </c>
      <c r="E61" s="22"/>
    </row>
    <row r="62" spans="1:5" ht="12.75">
      <c r="A62" t="s">
        <v>90</v>
      </c>
      <c r="C62" t="str">
        <f t="shared" si="0"/>
        <v>Matanza</v>
      </c>
      <c r="D62" s="22" t="s">
        <v>143</v>
      </c>
      <c r="E62" s="22"/>
    </row>
    <row r="63" spans="1:5" ht="12.75">
      <c r="A63" t="s">
        <v>91</v>
      </c>
      <c r="C63" t="str">
        <f t="shared" si="0"/>
        <v>Mogotes</v>
      </c>
      <c r="D63" s="22" t="s">
        <v>140</v>
      </c>
      <c r="E63" s="22"/>
    </row>
    <row r="64" spans="1:5" ht="12.75">
      <c r="A64" t="s">
        <v>92</v>
      </c>
      <c r="C64" t="str">
        <f t="shared" si="0"/>
        <v>Molagavita</v>
      </c>
      <c r="D64" s="22" t="s">
        <v>138</v>
      </c>
      <c r="E64" s="22"/>
    </row>
    <row r="65" spans="1:5" ht="12.75">
      <c r="A65" t="s">
        <v>93</v>
      </c>
      <c r="C65" t="str">
        <f t="shared" si="0"/>
        <v>Ocamonte</v>
      </c>
      <c r="D65" s="22" t="s">
        <v>140</v>
      </c>
      <c r="E65" s="22"/>
    </row>
    <row r="66" spans="1:5" ht="12.75">
      <c r="A66" t="s">
        <v>94</v>
      </c>
      <c r="C66" t="str">
        <f t="shared" si="0"/>
        <v>Oiba</v>
      </c>
      <c r="D66" s="22" t="s">
        <v>142</v>
      </c>
      <c r="E66" s="22"/>
    </row>
    <row r="67" spans="1:5" ht="12.75">
      <c r="A67" t="s">
        <v>95</v>
      </c>
      <c r="C67" t="str">
        <f t="shared" si="0"/>
        <v>Onzaga</v>
      </c>
      <c r="D67" s="22" t="s">
        <v>140</v>
      </c>
      <c r="E67" s="22"/>
    </row>
    <row r="68" spans="1:5" ht="12.75">
      <c r="A68" t="s">
        <v>96</v>
      </c>
      <c r="C68" t="str">
        <f t="shared" si="0"/>
        <v>Palmar</v>
      </c>
      <c r="D68" s="22" t="s">
        <v>142</v>
      </c>
      <c r="E68" s="22"/>
    </row>
    <row r="69" spans="1:5" ht="12.75">
      <c r="A69" t="s">
        <v>97</v>
      </c>
      <c r="C69" t="str">
        <f t="shared" si="0"/>
        <v>Palmas Del Socorro</v>
      </c>
      <c r="D69" s="22" t="s">
        <v>142</v>
      </c>
      <c r="E69" s="22"/>
    </row>
    <row r="70" spans="1:5" ht="12.75">
      <c r="A70" t="s">
        <v>98</v>
      </c>
      <c r="C70" t="str">
        <f t="shared" si="0"/>
        <v>Paramo</v>
      </c>
      <c r="D70" s="22" t="s">
        <v>140</v>
      </c>
      <c r="E70" s="22"/>
    </row>
    <row r="71" spans="1:5" ht="12.75">
      <c r="A71" t="s">
        <v>99</v>
      </c>
      <c r="C71" t="str">
        <f t="shared" si="0"/>
        <v>Piedecuesta</v>
      </c>
      <c r="D71" s="22" t="s">
        <v>137</v>
      </c>
      <c r="E71" s="22"/>
    </row>
    <row r="72" spans="1:5" ht="12.75">
      <c r="A72" t="s">
        <v>100</v>
      </c>
      <c r="C72" t="str">
        <f t="shared" si="0"/>
        <v>Pinchote</v>
      </c>
      <c r="D72" s="22" t="s">
        <v>140</v>
      </c>
      <c r="E72" s="22"/>
    </row>
    <row r="73" spans="1:5" ht="12.75">
      <c r="A73" t="s">
        <v>101</v>
      </c>
      <c r="C73" t="str">
        <f t="shared" si="0"/>
        <v>Puente Nacional</v>
      </c>
      <c r="D73" s="22" t="s">
        <v>139</v>
      </c>
      <c r="E73" s="22"/>
    </row>
    <row r="74" spans="1:5" ht="12.75">
      <c r="A74" t="s">
        <v>102</v>
      </c>
      <c r="C74" t="str">
        <f t="shared" si="0"/>
        <v>Puerto Parra</v>
      </c>
      <c r="D74" s="22" t="s">
        <v>141</v>
      </c>
      <c r="E74" s="22"/>
    </row>
    <row r="75" spans="1:5" ht="12.75">
      <c r="A75" t="s">
        <v>103</v>
      </c>
      <c r="C75" t="str">
        <f t="shared" si="0"/>
        <v>Puerto Wilches</v>
      </c>
      <c r="D75" s="22" t="s">
        <v>141</v>
      </c>
      <c r="E75" s="22"/>
    </row>
    <row r="76" spans="1:5" ht="12.75">
      <c r="A76" t="s">
        <v>104</v>
      </c>
      <c r="C76" t="str">
        <f aca="true" t="shared" si="9" ref="C76:C97">+PROPER(A76)</f>
        <v>Rionegro</v>
      </c>
      <c r="D76" s="22" t="s">
        <v>137</v>
      </c>
      <c r="E76" s="22"/>
    </row>
    <row r="77" spans="1:5" ht="12.75">
      <c r="A77" t="s">
        <v>105</v>
      </c>
      <c r="C77" t="str">
        <f t="shared" si="9"/>
        <v>Sabana De Torres</v>
      </c>
      <c r="D77" s="22" t="s">
        <v>141</v>
      </c>
      <c r="E77" s="22"/>
    </row>
    <row r="78" spans="1:5" ht="12.75">
      <c r="A78" t="s">
        <v>106</v>
      </c>
      <c r="C78" t="str">
        <f t="shared" si="9"/>
        <v>San Andres</v>
      </c>
      <c r="D78" s="22" t="s">
        <v>138</v>
      </c>
      <c r="E78" s="22"/>
    </row>
    <row r="79" spans="1:5" ht="12.75">
      <c r="A79" t="s">
        <v>107</v>
      </c>
      <c r="C79" t="str">
        <f t="shared" si="9"/>
        <v>San Benito</v>
      </c>
      <c r="D79" s="22" t="s">
        <v>139</v>
      </c>
      <c r="E79" s="22"/>
    </row>
    <row r="80" spans="1:5" ht="12.75">
      <c r="A80" t="s">
        <v>108</v>
      </c>
      <c r="C80" t="str">
        <f t="shared" si="9"/>
        <v>San Gil</v>
      </c>
      <c r="D80" s="22" t="s">
        <v>140</v>
      </c>
      <c r="E80" s="22"/>
    </row>
    <row r="81" spans="1:5" ht="12.75">
      <c r="A81" t="s">
        <v>109</v>
      </c>
      <c r="C81" t="str">
        <f t="shared" si="9"/>
        <v>San Joaquin</v>
      </c>
      <c r="D81" s="22" t="s">
        <v>140</v>
      </c>
      <c r="E81" s="22"/>
    </row>
    <row r="82" spans="1:5" ht="12.75">
      <c r="A82" t="s">
        <v>110</v>
      </c>
      <c r="C82" t="str">
        <f t="shared" si="9"/>
        <v>San Jose De Miranda</v>
      </c>
      <c r="D82" s="22" t="s">
        <v>138</v>
      </c>
      <c r="E82" s="22"/>
    </row>
    <row r="83" spans="1:5" ht="12.75">
      <c r="A83" t="s">
        <v>111</v>
      </c>
      <c r="C83" t="str">
        <f t="shared" si="9"/>
        <v>San Miguel</v>
      </c>
      <c r="D83" s="22" t="s">
        <v>138</v>
      </c>
      <c r="E83" s="22"/>
    </row>
    <row r="84" spans="1:5" ht="12.75">
      <c r="A84" t="s">
        <v>112</v>
      </c>
      <c r="C84" t="str">
        <f t="shared" si="9"/>
        <v>San Vicente De Chucuri</v>
      </c>
      <c r="D84" s="22" t="s">
        <v>141</v>
      </c>
      <c r="E84" s="22"/>
    </row>
    <row r="85" spans="1:5" ht="12.75">
      <c r="A85" t="s">
        <v>113</v>
      </c>
      <c r="C85" t="str">
        <f t="shared" si="9"/>
        <v>Santa Barbara</v>
      </c>
      <c r="D85" s="22" t="s">
        <v>137</v>
      </c>
      <c r="E85" s="22"/>
    </row>
    <row r="86" spans="1:5" ht="12.75">
      <c r="A86" s="23" t="s">
        <v>144</v>
      </c>
      <c r="C86" t="str">
        <f t="shared" si="9"/>
        <v>Santa Helena Del Opón</v>
      </c>
      <c r="D86" s="22" t="s">
        <v>139</v>
      </c>
      <c r="E86" s="22"/>
    </row>
    <row r="87" spans="1:5" ht="12.75">
      <c r="A87" t="s">
        <v>114</v>
      </c>
      <c r="C87" t="str">
        <f t="shared" si="9"/>
        <v>Simacota</v>
      </c>
      <c r="D87" s="22" t="s">
        <v>142</v>
      </c>
      <c r="E87" s="22"/>
    </row>
    <row r="88" spans="1:5" ht="12.75">
      <c r="A88" t="s">
        <v>115</v>
      </c>
      <c r="C88" t="str">
        <f t="shared" si="9"/>
        <v>Socorro</v>
      </c>
      <c r="D88" s="22" t="s">
        <v>142</v>
      </c>
      <c r="E88" s="22"/>
    </row>
    <row r="89" spans="1:5" ht="12.75">
      <c r="A89" t="s">
        <v>116</v>
      </c>
      <c r="C89" t="str">
        <f t="shared" si="9"/>
        <v>Suaita</v>
      </c>
      <c r="D89" s="22" t="s">
        <v>142</v>
      </c>
      <c r="E89" s="22"/>
    </row>
    <row r="90" spans="1:5" ht="12.75">
      <c r="A90" t="s">
        <v>117</v>
      </c>
      <c r="C90" t="str">
        <f t="shared" si="9"/>
        <v>Sucre</v>
      </c>
      <c r="D90" s="22" t="s">
        <v>139</v>
      </c>
      <c r="E90" s="22"/>
    </row>
    <row r="91" spans="1:5" ht="12.75">
      <c r="A91" t="s">
        <v>118</v>
      </c>
      <c r="C91" t="str">
        <f t="shared" si="9"/>
        <v>Surata</v>
      </c>
      <c r="D91" s="22" t="s">
        <v>143</v>
      </c>
      <c r="E91" s="22"/>
    </row>
    <row r="92" spans="1:5" ht="12.75">
      <c r="A92" t="s">
        <v>119</v>
      </c>
      <c r="C92" t="str">
        <f t="shared" si="9"/>
        <v>Tona</v>
      </c>
      <c r="D92" s="22" t="s">
        <v>137</v>
      </c>
      <c r="E92" s="22"/>
    </row>
    <row r="93" spans="1:5" ht="12.75">
      <c r="A93" t="s">
        <v>120</v>
      </c>
      <c r="C93" t="str">
        <f t="shared" si="9"/>
        <v>Valle San Jose</v>
      </c>
      <c r="D93" s="22" t="s">
        <v>140</v>
      </c>
      <c r="E93" s="22"/>
    </row>
    <row r="94" spans="1:5" ht="12.75">
      <c r="A94" t="s">
        <v>121</v>
      </c>
      <c r="C94" t="str">
        <f t="shared" si="9"/>
        <v>Velez</v>
      </c>
      <c r="D94" s="22" t="s">
        <v>139</v>
      </c>
      <c r="E94" s="22"/>
    </row>
    <row r="95" spans="1:5" ht="12.75">
      <c r="A95" t="s">
        <v>122</v>
      </c>
      <c r="C95" t="str">
        <f t="shared" si="9"/>
        <v>Vetas</v>
      </c>
      <c r="D95" s="22" t="s">
        <v>143</v>
      </c>
      <c r="E95" s="22"/>
    </row>
    <row r="96" spans="1:5" ht="12.75">
      <c r="A96" t="s">
        <v>123</v>
      </c>
      <c r="C96" t="str">
        <f t="shared" si="9"/>
        <v>Villanueva</v>
      </c>
      <c r="D96" s="22" t="s">
        <v>140</v>
      </c>
      <c r="E96" s="22"/>
    </row>
    <row r="97" spans="1:5" ht="12.75">
      <c r="A97" t="s">
        <v>124</v>
      </c>
      <c r="C97" t="str">
        <f t="shared" si="9"/>
        <v>Zapatoca</v>
      </c>
      <c r="D97" s="22" t="s">
        <v>137</v>
      </c>
      <c r="E97" s="22"/>
    </row>
  </sheetData>
  <sheetProtection password="CE28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133" zoomScaleNormal="133" zoomScalePageLayoutView="0" workbookViewId="0" topLeftCell="A4">
      <selection activeCell="D18" sqref="D18"/>
    </sheetView>
  </sheetViews>
  <sheetFormatPr defaultColWidth="11.421875" defaultRowHeight="12.75"/>
  <cols>
    <col min="1" max="1" width="5.00390625" style="0" bestFit="1" customWidth="1"/>
    <col min="2" max="2" width="8.28125" style="0" bestFit="1" customWidth="1"/>
    <col min="3" max="3" width="11.28125" style="0" customWidth="1"/>
    <col min="4" max="4" width="14.00390625" style="0" bestFit="1" customWidth="1"/>
    <col min="5" max="5" width="14.8515625" style="0" bestFit="1" customWidth="1"/>
    <col min="6" max="6" width="15.00390625" style="0" bestFit="1" customWidth="1"/>
    <col min="7" max="7" width="14.8515625" style="0" bestFit="1" customWidth="1"/>
    <col min="8" max="8" width="14.00390625" style="0" bestFit="1" customWidth="1"/>
    <col min="9" max="9" width="14.8515625" style="0" bestFit="1" customWidth="1"/>
    <col min="10" max="11" width="14.00390625" style="0" bestFit="1" customWidth="1"/>
  </cols>
  <sheetData>
    <row r="1" spans="1:11" ht="24" customHeight="1">
      <c r="A1" s="118" t="s">
        <v>177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17" t="s">
        <v>28</v>
      </c>
      <c r="C2" s="117"/>
      <c r="D2" s="62" t="s">
        <v>146</v>
      </c>
      <c r="E2" s="62"/>
      <c r="F2" s="63" t="s">
        <v>145</v>
      </c>
      <c r="G2" s="63"/>
      <c r="H2" s="64" t="s">
        <v>162</v>
      </c>
      <c r="I2" s="64"/>
      <c r="J2" s="116" t="s">
        <v>161</v>
      </c>
      <c r="K2" s="116"/>
    </row>
    <row r="3" spans="1:11" s="40" customFormat="1" ht="63.75">
      <c r="A3" s="50" t="s">
        <v>157</v>
      </c>
      <c r="B3" s="41" t="s">
        <v>169</v>
      </c>
      <c r="C3" s="41" t="s">
        <v>168</v>
      </c>
      <c r="D3" s="42" t="s">
        <v>163</v>
      </c>
      <c r="E3" s="43" t="s">
        <v>183</v>
      </c>
      <c r="F3" s="44" t="s">
        <v>163</v>
      </c>
      <c r="G3" s="45" t="s">
        <v>183</v>
      </c>
      <c r="H3" s="48" t="s">
        <v>163</v>
      </c>
      <c r="I3" s="49" t="s">
        <v>183</v>
      </c>
      <c r="J3" s="46" t="s">
        <v>163</v>
      </c>
      <c r="K3" s="47" t="s">
        <v>183</v>
      </c>
    </row>
    <row r="4" spans="1:11" ht="12.75">
      <c r="A4">
        <v>2010</v>
      </c>
      <c r="B4" s="28">
        <v>0.0317</v>
      </c>
      <c r="C4" s="65">
        <v>0.03</v>
      </c>
      <c r="D4" s="53"/>
      <c r="E4" s="27"/>
      <c r="F4" s="53"/>
      <c r="G4" s="27"/>
      <c r="H4" s="53"/>
      <c r="J4" s="53"/>
      <c r="K4" s="27"/>
    </row>
    <row r="5" spans="1:11" ht="12.75">
      <c r="A5">
        <v>2011</v>
      </c>
      <c r="B5" s="28">
        <v>0.0373</v>
      </c>
      <c r="C5" s="65">
        <v>0.03</v>
      </c>
      <c r="D5" s="53">
        <f aca="true" t="shared" si="0" ref="D5:D19">+E5*(1+B4)</f>
        <v>0</v>
      </c>
      <c r="E5" s="27"/>
      <c r="F5" s="53">
        <f aca="true" t="shared" si="1" ref="F5:F15">+G5*(1+B4)</f>
        <v>0</v>
      </c>
      <c r="G5" s="27"/>
      <c r="H5" s="53">
        <f aca="true" t="shared" si="2" ref="H5:H19">+I5*(1+B4)</f>
        <v>0</v>
      </c>
      <c r="J5" s="53">
        <f aca="true" t="shared" si="3" ref="J5:J15">+K5*(1+B4)</f>
        <v>0</v>
      </c>
      <c r="K5" s="27"/>
    </row>
    <row r="6" spans="1:11" ht="12.75">
      <c r="A6">
        <v>2012</v>
      </c>
      <c r="B6" s="28">
        <v>0.0244</v>
      </c>
      <c r="C6" s="65">
        <v>0.03</v>
      </c>
      <c r="D6" s="53">
        <f t="shared" si="0"/>
        <v>0</v>
      </c>
      <c r="E6" s="27"/>
      <c r="F6" s="53">
        <f t="shared" si="1"/>
        <v>0</v>
      </c>
      <c r="G6" s="27"/>
      <c r="H6" s="53">
        <f t="shared" si="2"/>
        <v>0</v>
      </c>
      <c r="J6" s="53">
        <f t="shared" si="3"/>
        <v>0</v>
      </c>
      <c r="K6" s="27"/>
    </row>
    <row r="7" spans="1:11" ht="12.75">
      <c r="A7">
        <v>2013</v>
      </c>
      <c r="B7" s="28">
        <v>0.0194</v>
      </c>
      <c r="C7" s="65">
        <v>0.03</v>
      </c>
      <c r="D7" s="53">
        <f t="shared" si="0"/>
        <v>0</v>
      </c>
      <c r="E7" s="27"/>
      <c r="F7" s="53">
        <f t="shared" si="1"/>
        <v>0</v>
      </c>
      <c r="G7" s="27"/>
      <c r="H7" s="53">
        <f t="shared" si="2"/>
        <v>0</v>
      </c>
      <c r="J7" s="53">
        <f t="shared" si="3"/>
        <v>0</v>
      </c>
      <c r="K7" s="27"/>
    </row>
    <row r="8" spans="1:11" ht="12.75">
      <c r="A8">
        <v>2014</v>
      </c>
      <c r="B8" s="28">
        <v>0.0366</v>
      </c>
      <c r="C8" s="65">
        <v>0.03</v>
      </c>
      <c r="D8" s="53">
        <f t="shared" si="0"/>
        <v>0</v>
      </c>
      <c r="E8" s="27"/>
      <c r="F8" s="53">
        <f t="shared" si="1"/>
        <v>0</v>
      </c>
      <c r="G8" s="27"/>
      <c r="H8" s="53">
        <f t="shared" si="2"/>
        <v>0</v>
      </c>
      <c r="J8" s="53">
        <f t="shared" si="3"/>
        <v>0</v>
      </c>
      <c r="K8" s="27"/>
    </row>
    <row r="9" spans="1:11" ht="12.75">
      <c r="A9">
        <v>2015</v>
      </c>
      <c r="B9" s="28">
        <v>0.0677</v>
      </c>
      <c r="C9" s="65">
        <v>0.03</v>
      </c>
      <c r="D9" s="53">
        <f t="shared" si="0"/>
        <v>0</v>
      </c>
      <c r="E9" s="27"/>
      <c r="F9" s="53">
        <f t="shared" si="1"/>
        <v>0</v>
      </c>
      <c r="G9" s="27"/>
      <c r="H9" s="53">
        <f t="shared" si="2"/>
        <v>0</v>
      </c>
      <c r="J9" s="53">
        <f t="shared" si="3"/>
        <v>0</v>
      </c>
      <c r="K9" s="27"/>
    </row>
    <row r="10" spans="1:11" ht="12.75">
      <c r="A10">
        <v>2016</v>
      </c>
      <c r="B10" s="28">
        <v>0.0575</v>
      </c>
      <c r="C10" s="65">
        <v>0.03</v>
      </c>
      <c r="D10" s="53">
        <f t="shared" si="0"/>
        <v>0</v>
      </c>
      <c r="E10" s="27"/>
      <c r="F10" s="53">
        <f t="shared" si="1"/>
        <v>0</v>
      </c>
      <c r="G10" s="27"/>
      <c r="H10" s="53">
        <f t="shared" si="2"/>
        <v>0</v>
      </c>
      <c r="J10" s="53">
        <f t="shared" si="3"/>
        <v>0</v>
      </c>
      <c r="K10" s="27"/>
    </row>
    <row r="11" spans="1:11" ht="12.75">
      <c r="A11">
        <v>2017</v>
      </c>
      <c r="B11" s="28">
        <v>0.0409</v>
      </c>
      <c r="C11" s="65">
        <v>0.03</v>
      </c>
      <c r="D11" s="53">
        <f t="shared" si="0"/>
        <v>0</v>
      </c>
      <c r="E11" s="27"/>
      <c r="F11" s="53">
        <f t="shared" si="1"/>
        <v>0</v>
      </c>
      <c r="G11" s="27"/>
      <c r="H11" s="53">
        <f t="shared" si="2"/>
        <v>0</v>
      </c>
      <c r="J11" s="53">
        <f t="shared" si="3"/>
        <v>0</v>
      </c>
      <c r="K11" s="27"/>
    </row>
    <row r="12" spans="1:11" ht="12.75">
      <c r="A12">
        <v>2018</v>
      </c>
      <c r="B12" s="28">
        <v>0.0318</v>
      </c>
      <c r="C12" s="65">
        <v>0.03</v>
      </c>
      <c r="D12" s="53">
        <f t="shared" si="0"/>
        <v>0</v>
      </c>
      <c r="E12" s="27"/>
      <c r="F12" s="53">
        <f t="shared" si="1"/>
        <v>0</v>
      </c>
      <c r="G12" s="27"/>
      <c r="H12" s="53">
        <f t="shared" si="2"/>
        <v>0</v>
      </c>
      <c r="J12" s="53">
        <f t="shared" si="3"/>
        <v>0</v>
      </c>
      <c r="K12" s="27"/>
    </row>
    <row r="13" spans="1:11" ht="12.75">
      <c r="A13">
        <v>2019</v>
      </c>
      <c r="B13" s="28">
        <v>0.038</v>
      </c>
      <c r="C13" s="65">
        <v>0.03</v>
      </c>
      <c r="D13" s="53">
        <f t="shared" si="0"/>
        <v>0</v>
      </c>
      <c r="E13" s="27"/>
      <c r="F13" s="53">
        <f t="shared" si="1"/>
        <v>0</v>
      </c>
      <c r="G13" s="27"/>
      <c r="H13" s="53">
        <f t="shared" si="2"/>
        <v>0</v>
      </c>
      <c r="J13" s="53">
        <f t="shared" si="3"/>
        <v>0</v>
      </c>
      <c r="K13" s="27"/>
    </row>
    <row r="14" spans="1:11" ht="12.75">
      <c r="A14">
        <v>2020</v>
      </c>
      <c r="B14" s="28">
        <v>0.0161</v>
      </c>
      <c r="C14" s="65">
        <v>0.03</v>
      </c>
      <c r="D14" s="53">
        <f t="shared" si="0"/>
        <v>0</v>
      </c>
      <c r="E14" s="27"/>
      <c r="F14" s="53">
        <f t="shared" si="1"/>
        <v>0</v>
      </c>
      <c r="G14" s="27"/>
      <c r="H14" s="53">
        <f t="shared" si="2"/>
        <v>0</v>
      </c>
      <c r="J14" s="53">
        <f t="shared" si="3"/>
        <v>0</v>
      </c>
      <c r="K14" s="27"/>
    </row>
    <row r="15" spans="1:11" ht="12.75">
      <c r="A15">
        <v>2021</v>
      </c>
      <c r="B15" s="51">
        <v>0.0562</v>
      </c>
      <c r="C15" s="65">
        <v>0.03</v>
      </c>
      <c r="D15" s="53">
        <f t="shared" si="0"/>
        <v>6565694129.2341</v>
      </c>
      <c r="E15" s="27">
        <v>6461661381</v>
      </c>
      <c r="F15" s="53">
        <f t="shared" si="1"/>
        <v>0</v>
      </c>
      <c r="H15" s="53">
        <f t="shared" si="2"/>
        <v>0</v>
      </c>
      <c r="I15" s="52"/>
      <c r="J15" s="53">
        <f t="shared" si="3"/>
        <v>0</v>
      </c>
      <c r="K15" s="52"/>
    </row>
    <row r="16" spans="1:11" ht="12.75">
      <c r="A16">
        <v>2022</v>
      </c>
      <c r="B16" s="28">
        <v>0.1312</v>
      </c>
      <c r="C16" s="65">
        <v>0.03</v>
      </c>
      <c r="D16" s="53">
        <f>+E16*(1+B15)</f>
        <v>4729656645.9792</v>
      </c>
      <c r="E16" s="27">
        <v>4477993416</v>
      </c>
      <c r="F16" s="53">
        <f>+G16*(1+B15)</f>
        <v>3540040580.4097</v>
      </c>
      <c r="G16" s="52">
        <v>3351676368.5</v>
      </c>
      <c r="H16" s="53">
        <f t="shared" si="2"/>
        <v>1836263832.6346002</v>
      </c>
      <c r="I16" s="27">
        <v>1738556933</v>
      </c>
      <c r="J16" s="59">
        <v>1344859835.29</v>
      </c>
      <c r="K16" s="27">
        <v>1438840800</v>
      </c>
    </row>
    <row r="17" spans="1:11" ht="12.75">
      <c r="A17">
        <v>2023</v>
      </c>
      <c r="B17" s="28">
        <v>0.0928</v>
      </c>
      <c r="C17" s="65">
        <v>0.03</v>
      </c>
      <c r="D17" s="53">
        <f>+E17*(1+B16)</f>
        <v>5350187118.3264</v>
      </c>
      <c r="E17" s="27">
        <v>4729656222</v>
      </c>
      <c r="F17" s="53">
        <f>+G17*(1+B16)</f>
        <v>0</v>
      </c>
      <c r="G17" s="27"/>
      <c r="H17" s="53">
        <f t="shared" si="2"/>
        <v>0</v>
      </c>
      <c r="J17" s="53">
        <f>+K17*(1+B16)</f>
        <v>1658873425.0368</v>
      </c>
      <c r="K17" s="27">
        <v>1466472264</v>
      </c>
    </row>
    <row r="18" spans="1:11" ht="12.75">
      <c r="A18">
        <v>2024</v>
      </c>
      <c r="C18" s="65">
        <v>0.03</v>
      </c>
      <c r="D18" s="53">
        <f t="shared" si="0"/>
        <v>0</v>
      </c>
      <c r="E18" s="27"/>
      <c r="F18" s="53">
        <f>+G18*(1+B17)</f>
        <v>0</v>
      </c>
      <c r="G18" s="27"/>
      <c r="H18" s="53">
        <f t="shared" si="2"/>
        <v>0</v>
      </c>
      <c r="J18" s="53">
        <f>+K18*(1+B17)</f>
        <v>0</v>
      </c>
      <c r="K18" s="27"/>
    </row>
    <row r="19" spans="1:11" ht="12.75">
      <c r="A19">
        <v>2025</v>
      </c>
      <c r="D19" s="53">
        <f t="shared" si="0"/>
        <v>0</v>
      </c>
      <c r="E19" s="27"/>
      <c r="F19" s="53">
        <f>+G19*(1+B18)</f>
        <v>0</v>
      </c>
      <c r="G19" s="27"/>
      <c r="H19" s="53">
        <f t="shared" si="2"/>
        <v>0</v>
      </c>
      <c r="J19" s="53">
        <f>+K19*(1+B18)</f>
        <v>0</v>
      </c>
      <c r="K19" s="27"/>
    </row>
    <row r="20" spans="4:11" ht="12.75">
      <c r="D20" s="53"/>
      <c r="E20" s="27"/>
      <c r="F20" s="53"/>
      <c r="G20" s="27"/>
      <c r="H20" s="53"/>
      <c r="J20" s="53"/>
      <c r="K20" s="27"/>
    </row>
    <row r="21" spans="4:11" ht="12.75">
      <c r="D21" s="53"/>
      <c r="E21" s="27"/>
      <c r="F21" s="53"/>
      <c r="G21" s="27"/>
      <c r="H21" s="53"/>
      <c r="J21" s="53"/>
      <c r="K21" s="27"/>
    </row>
    <row r="23" spans="3:10" ht="13.5" thickBot="1">
      <c r="C23" s="23" t="s">
        <v>176</v>
      </c>
      <c r="D23" s="23" t="s">
        <v>167</v>
      </c>
      <c r="E23" s="23" t="s">
        <v>166</v>
      </c>
      <c r="H23" s="60"/>
      <c r="J23" s="61" t="s">
        <v>178</v>
      </c>
    </row>
    <row r="24" spans="4:5" ht="13.5" thickBot="1">
      <c r="D24" s="54" t="s">
        <v>164</v>
      </c>
      <c r="E24" s="55" t="s">
        <v>165</v>
      </c>
    </row>
    <row r="26" spans="5:9" ht="12.75">
      <c r="E26" s="23" t="s">
        <v>175</v>
      </c>
      <c r="F26" s="23" t="s">
        <v>171</v>
      </c>
      <c r="G26" s="23" t="s">
        <v>172</v>
      </c>
      <c r="H26" s="23" t="s">
        <v>173</v>
      </c>
      <c r="I26" s="23" t="s">
        <v>174</v>
      </c>
    </row>
    <row r="27" spans="4:9" ht="12.75">
      <c r="D27" s="23" t="s">
        <v>170</v>
      </c>
      <c r="E27" s="23">
        <v>2022</v>
      </c>
      <c r="F27" s="23">
        <v>2021</v>
      </c>
      <c r="G27" s="23">
        <v>2020</v>
      </c>
      <c r="H27" s="23">
        <v>2019</v>
      </c>
      <c r="I27" s="23">
        <v>2018</v>
      </c>
    </row>
    <row r="28" spans="4:8" ht="12.75">
      <c r="D28" s="23" t="s">
        <v>146</v>
      </c>
      <c r="E28" s="56">
        <f>4477.993416*1.0562</f>
        <v>4729.6566459792</v>
      </c>
      <c r="F28" s="57">
        <v>6545.47081055229</v>
      </c>
      <c r="G28" s="58">
        <v>6393</v>
      </c>
      <c r="H28" s="58">
        <v>3038.4</v>
      </c>
    </row>
    <row r="29" spans="4:8" ht="12.75">
      <c r="D29" s="39" t="s">
        <v>145</v>
      </c>
      <c r="E29" s="56">
        <v>3540.0405804097</v>
      </c>
      <c r="F29" s="57">
        <v>3351.676369</v>
      </c>
      <c r="G29" s="58">
        <v>3254</v>
      </c>
      <c r="H29" s="58">
        <v>6159</v>
      </c>
    </row>
    <row r="30" spans="4:8" ht="12.75">
      <c r="D30" s="39" t="s">
        <v>162</v>
      </c>
      <c r="E30" s="56">
        <v>1836.2638326346</v>
      </c>
      <c r="F30" s="57">
        <v>1767.07552849925</v>
      </c>
      <c r="G30" s="58">
        <v>1725.9</v>
      </c>
      <c r="H30" s="58">
        <v>1662.7</v>
      </c>
    </row>
    <row r="31" spans="4:8" ht="12.75">
      <c r="D31" s="39" t="s">
        <v>161</v>
      </c>
      <c r="E31" s="56">
        <v>1344.85983529</v>
      </c>
      <c r="F31" s="57">
        <v>1255.704795</v>
      </c>
      <c r="G31" s="58">
        <v>1178.1</v>
      </c>
      <c r="H31" s="58">
        <v>1138.5</v>
      </c>
    </row>
  </sheetData>
  <sheetProtection password="CE28" sheet="1"/>
  <mergeCells count="3">
    <mergeCell ref="J2:K2"/>
    <mergeCell ref="B2:C2"/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Jorge Alberto Delgado Jaimes</cp:lastModifiedBy>
  <cp:lastPrinted>2022-07-08T14:49:46Z</cp:lastPrinted>
  <dcterms:created xsi:type="dcterms:W3CDTF">2022-04-07T20:48:48Z</dcterms:created>
  <dcterms:modified xsi:type="dcterms:W3CDTF">2024-04-09T13:29:34Z</dcterms:modified>
  <cp:category/>
  <cp:version/>
  <cp:contentType/>
  <cp:contentStatus/>
</cp:coreProperties>
</file>